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使い方" state="visible" r:id="rId4"/>
    <sheet sheetId="2" name="会費の受け取り" state="visible" r:id="rId5"/>
    <sheet sheetId="3" name="領収書" state="visible" r:id="rId6"/>
  </sheets>
  <definedNames>
    <definedName name="_xlnm.Print_Area" localSheetId="0">'使い方'!$A$1:$C$14</definedName>
    <definedName name="_xlnm.Print_Area" localSheetId="1">'会費の受け取り'!$A$1:$M$59</definedName>
    <definedName name="_xlnm.Print_Titles" localSheetId="1">'会費の受け取り'!$9:$9</definedName>
    <definedName name="_xlnm.Print_Area" localSheetId="2">'領収書'!$A$1:$L$528</definedName>
  </definedNames>
  <calcPr calcId="171027" fullCalcOnLoad="1"/>
</workbook>
</file>

<file path=xl/sharedStrings.xml><?xml version="1.0" encoding="utf-8"?>
<sst xmlns="http://schemas.openxmlformats.org/spreadsheetml/2006/main" count="624" uniqueCount="54">
  <si>
    <t>自治会費の領収書つづりの使い方</t>
  </si>
  <si>
    <t>手順</t>
  </si>
  <si>
    <t>何をする</t>
  </si>
  <si>
    <t>どこに入れる</t>
  </si>
  <si>
    <t>年度の始まる年を入れる（2026年4月〜2027年3月なら 2026）</t>
  </si>
  <si>
    <t>会費の受け取り B2</t>
  </si>
  <si>
    <t>会の名前、受け取る人の名前（会計）、1世帯の年の会費を入れる</t>
  </si>
  <si>
    <t>会費の受け取り B3・B4・B5</t>
  </si>
  <si>
    <t>名簿を見て、班と宛名を1行ずつ入れる。金額が年の会費と違う世帯だけ金額を入れる。班長さんが集める班は、受け取った人に班長さんの名前を入れる（空なら会計の名前が出る）</t>
  </si>
  <si>
    <t>会費の受け取り B・C・D・G 列</t>
  </si>
  <si>
    <t>「領収書」のシートを印刷する。1枚に3組。点線で切り、左の控えを残して右を渡す</t>
  </si>
  <si>
    <t>領収書</t>
  </si>
  <si>
    <t>受け取った日を入れる。書き損じた番号は「書き損じ」を選ぶ</t>
  </si>
  <si>
    <t>会費の受け取り F・H 列</t>
  </si>
  <si>
    <t>出納帳に書いた会費収入を入れ、「一致」と出るかを見る</t>
  </si>
  <si>
    <t>会費の受け取り M15</t>
  </si>
  <si>
    <t>会費の領収書には収入印紙を貼りません。親睦や地域の活動を目的とする自治会が受け取る会費の領収書は、国税庁の扱いで『営業に関しない受取書』に当たります（タックスアンサー No.7125）。</t>
  </si>
  <si>
    <t>会費のほかに、駐車場や集会所を貸して受け取る5万円以上のお金の領収書は、印紙の要否に迷えば税務署で確かめてください。</t>
  </si>
  <si>
    <t>書き損じた領収書は捨てずに、控えと一緒に残します。監査では、番号が飛んでいないかを見ます。</t>
  </si>
  <si>
    <t>宛名が空の組は、番号と会の名前・受け取る人の名前だけが入った手書き用の領収書として印刷されます。</t>
  </si>
  <si>
    <t>自治会費の受け取りの記録</t>
  </si>
  <si>
    <t>年度の始まる年</t>
  </si>
  <si>
    <t>← 2026年4月〜2027年3月なら 2026 と入れる</t>
  </si>
  <si>
    <t>会の名前</t>
  </si>
  <si>
    <t>受け取る人の名前（会計）</t>
  </si>
  <si>
    <t>1世帯の年の会費</t>
  </si>
  <si>
    <t>但し書き（年の会費）</t>
  </si>
  <si>
    <t>番号</t>
  </si>
  <si>
    <t>班</t>
  </si>
  <si>
    <t>宛名</t>
  </si>
  <si>
    <t>金額（空なら年の会費）</t>
  </si>
  <si>
    <t>但し書き（空なら年の会費の文）</t>
  </si>
  <si>
    <t>受け取った日</t>
  </si>
  <si>
    <t>受け取った人</t>
  </si>
  <si>
    <t>書き損じ</t>
  </si>
  <si>
    <t>状況</t>
  </si>
  <si>
    <t>受け取った額</t>
  </si>
  <si>
    <t>項目</t>
  </si>
  <si>
    <t>結果</t>
  </si>
  <si>
    <t>宛名を書いた行</t>
  </si>
  <si>
    <t>受領済み</t>
  </si>
  <si>
    <t>まだ受け取っていない</t>
  </si>
  <si>
    <t>出納帳に書いた会費収入</t>
  </si>
  <si>
    <t>出納帳と</t>
  </si>
  <si>
    <t>5万円以上の行（印紙を確かめる）</t>
  </si>
  <si>
    <t>書き損じた行は消さずに残します。同じ世帯には、空いている次の行で出し直します。</t>
  </si>
  <si>
    <t>控え</t>
  </si>
  <si>
    <t>No.</t>
  </si>
  <si>
    <t>日付</t>
  </si>
  <si>
    <t>様</t>
  </si>
  <si>
    <t>金額</t>
  </si>
  <si>
    <t>但し書き</t>
  </si>
  <si>
    <t>上記の金額を受け取りました。</t>
  </si>
  <si>
    <t>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</si>
</sst>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yyyy/m/d"/>
    <numFmt numFmtId="165" formatCode="yyyy&quot;年&quot;m&quot;月&quot;d&quot;日&quot;"/>
    <numFmt numFmtId="166" formatCode="&quot;¥&quot;#,##0&quot;－&quot;"/>
  </numFmts>
  <fonts count="17" x14ac:knownFonts="1">
    <font>
      <color theme="1"/>
      <family val="2"/>
      <scheme val="minor"/>
      <sz val="11"/>
      <name val="Calibri"/>
    </font>
    <font>
      <b/>
      <color rgb="FF0D2B6B"/>
      <sz val="16"/>
    </font>
    <font>
      <b/>
      <color rgb="FF0D47A1"/>
    </font>
    <font/>
    <font>
      <b/>
      <color rgb="FF0D2B6B"/>
      <sz val="9"/>
    </font>
    <font>
      <color rgb="FF6B7280"/>
    </font>
    <font>
      <b/>
      <color rgb="FF0D2B6B"/>
    </font>
    <font>
      <b/>
      <color rgb="FF000000"/>
      <sz val="12"/>
    </font>
    <font>
      <color rgb="FF000000"/>
      <sz val="10"/>
    </font>
    <font>
      <b/>
      <color rgb="FF000000"/>
      <sz val="16"/>
    </font>
    <font>
      <color rgb="FF000000"/>
      <sz val="8"/>
    </font>
    <font>
      <color rgb="FF000000"/>
      <sz val="13"/>
    </font>
    <font>
      <color rgb="FF000000"/>
      <sz val="12"/>
    </font>
    <font>
      <b/>
      <color rgb="FF000000"/>
      <sz val="18"/>
    </font>
    <font>
      <color rgb="FF000000"/>
      <sz val="9"/>
    </font>
    <font>
      <b/>
      <color rgb="FF000000"/>
      <sz val="10"/>
    </font>
    <font>
      <color rgb="FF000000"/>
      <sz val="11"/>
    </font>
  </fonts>
  <fills count="3">
    <fill>
      <patternFill patternType="none"/>
    </fill>
    <fill>
      <patternFill patternType="gray125"/>
    </fill>
    <fill>
      <patternFill patternType="solid">
        <fgColor rgb="FFFBF7EE"/>
      </patternFill>
    </fill>
  </fills>
  <borders count="10">
    <border>
      <left/>
      <right/>
      <top/>
      <bottom/>
      <diagonal/>
    </border>
    <border>
      <left style="thin">
        <color rgb="FFD1D5DB"/>
      </left>
      <right style="thin">
        <color rgb="FFD1D5DB"/>
      </right>
      <top style="thin">
        <color rgb="FFD1D5DB"/>
      </top>
      <bottom style="medium">
        <color rgb="FF0D47A1"/>
      </bottom>
      <diagonal/>
    </border>
    <border>
      <left style="thin">
        <color rgb="FFD1D5DB"/>
      </left>
      <right style="thin">
        <color rgb="FFD1D5DB"/>
      </right>
      <top style="thin">
        <color rgb="FFD1D5DB"/>
      </top>
      <bottom style="thin">
        <color rgb="FFD1D5DB"/>
      </bottom>
      <diagonal/>
    </border>
    <border>
      <left style="thin">
        <color rgb="FF0D47A1"/>
      </left>
      <right style="thin">
        <color rgb="FF0D47A1"/>
      </right>
      <top style="thin">
        <color rgb="FF0D47A1"/>
      </top>
      <bottom style="thin">
        <color rgb="FF0D47A1"/>
      </bottom>
      <diagonal/>
    </border>
    <border>
      <left style="dashed">
        <color rgb="FF000000"/>
      </left>
      <right/>
      <top/>
      <bottom/>
      <diagonal/>
    </border>
    <border>
      <left/>
      <right/>
      <top/>
      <bottom style="thin">
        <color rgb="FF000000"/>
      </bottom>
      <diagonal/>
    </border>
    <border>
      <left/>
      <right/>
      <top/>
      <bottom style="double">
        <color rgb="FF000000"/>
      </bottom>
      <diagonal/>
    </border>
    <border>
      <left style="thin">
        <color rgb="FF000000"/>
      </left>
      <right style="thin">
        <color rgb="FF000000"/>
      </right>
      <top style="thin">
        <color rgb="FF000000"/>
      </top>
      <bottom style="thin">
        <color rgb="FF000000"/>
      </bottom>
      <diagonal/>
    </border>
    <border>
      <left/>
      <right/>
      <top/>
      <bottom style="dashed">
        <color rgb="FF000000"/>
      </bottom>
      <diagonal/>
    </border>
    <border>
      <left style="dashed">
        <color rgb="FF000000"/>
      </left>
      <right/>
      <top/>
      <bottom style="dashed">
        <color rgb="FF000000"/>
      </bottom>
      <diagonal/>
    </border>
  </borders>
  <cellStyleXfs count="1">
    <xf numFmtId="0" fontId="0" fillId="0" borderId="0"/>
  </cellStyleXfs>
  <cellXfs count="43">
    <xf numFmtId="0" fontId="0" fillId="0" borderId="0" xfId="0"/>
    <xf numFmtId="0" fontId="1" fillId="0" borderId="0" xfId="0" applyFont="1"/>
    <xf numFmtId="0" fontId="2" fillId="0" borderId="1" xfId="0" applyFont="1" applyBorder="1" applyAlignment="1">
      <alignment horizontal="center" vertical="center" wrapText="1"/>
    </xf>
    <xf numFmtId="0" fontId="0" fillId="0" borderId="2" xfId="0" applyBorder="1" applyAlignment="1">
      <alignment horizontal="center" vertical="center"/>
    </xf>
    <xf numFmtId="0" fontId="0" fillId="0" borderId="2" xfId="0" applyBorder="1" applyAlignment="1">
      <alignment vertical="center" wrapText="1"/>
    </xf>
    <xf numFmtId="0" fontId="2" fillId="0" borderId="0" xfId="0" applyFont="1" applyAlignment="1">
      <alignment vertical="center" wrapText="1"/>
    </xf>
    <xf numFmtId="0" fontId="3" fillId="0" borderId="0" xfId="0" applyFont="1" applyAlignment="1">
      <alignment vertical="center" wrapText="1"/>
    </xf>
    <xf numFmtId="0" fontId="4" fillId="0" borderId="2" xfId="0" applyFont="1" applyBorder="1" applyAlignment="1">
      <alignment vertical="center" wrapText="1"/>
    </xf>
    <xf numFmtId="1" fontId="0" fillId="2" borderId="3" xfId="0" applyNumberFormat="1" applyFill="1" applyBorder="1" applyAlignment="1" applyProtection="1">
      <alignment horizontal="center" vertical="center"/>
      <protection locked="0"/>
    </xf>
    <xf numFmtId="0" fontId="5" fillId="0" borderId="0" xfId="0" applyFont="1" applyAlignment="1">
      <alignment vertical="center"/>
    </xf>
    <xf numFmtId="0" fontId="0" fillId="2" borderId="3" xfId="0" applyFill="1" applyBorder="1" applyAlignment="1" applyProtection="1">
      <alignment vertical="center" wrapText="1"/>
      <protection locked="0"/>
    </xf>
    <xf numFmtId="3" fontId="0" fillId="2" borderId="3" xfId="0" applyNumberFormat="1" applyFill="1" applyBorder="1" applyAlignment="1" applyProtection="1">
      <alignment horizontal="right" vertical="center"/>
      <protection locked="0"/>
    </xf>
    <xf numFmtId="0" fontId="0" fillId="0" borderId="2" xfId="0" applyBorder="1" applyAlignment="1">
      <alignment horizontal="center" vertical="center" wrapText="1"/>
    </xf>
    <xf numFmtId="0" fontId="0" fillId="2" borderId="3" xfId="0" applyFill="1" applyBorder="1" applyAlignment="1" applyProtection="1">
      <alignment horizontal="center" vertical="center" wrapText="1"/>
      <protection locked="0"/>
    </xf>
    <xf numFmtId="164" fontId="0" fillId="2" borderId="3" xfId="0" applyNumberFormat="1" applyFill="1" applyBorder="1" applyAlignment="1" applyProtection="1">
      <alignment horizontal="center" vertical="center" wrapText="1"/>
      <protection locked="0"/>
    </xf>
    <xf numFmtId="3" fontId="0" fillId="0" borderId="2" xfId="0" applyNumberFormat="1" applyBorder="1" applyAlignment="1">
      <alignment horizontal="right" vertical="center" wrapText="1"/>
    </xf>
    <xf numFmtId="0" fontId="5" fillId="0" borderId="2" xfId="0" applyFont="1" applyBorder="1" applyAlignment="1">
      <alignment vertical="center" wrapText="1"/>
    </xf>
    <xf numFmtId="1" fontId="6" fillId="0" borderId="2" xfId="0" applyNumberFormat="1" applyFont="1" applyBorder="1" applyAlignment="1">
      <alignment horizontal="right" vertical="center" wrapText="1"/>
    </xf>
    <xf numFmtId="3" fontId="6" fillId="0" borderId="2" xfId="0" applyNumberFormat="1" applyFont="1" applyBorder="1" applyAlignment="1">
      <alignment horizontal="right" vertical="center" wrapText="1"/>
    </xf>
    <xf numFmtId="0" fontId="6" fillId="0" borderId="2" xfId="0" applyFont="1" applyBorder="1" applyAlignment="1">
      <alignment horizontal="right" vertical="center" wrapText="1"/>
    </xf>
    <xf numFmtId="0" fontId="5" fillId="0" borderId="0" xfId="0" applyFont="1" applyAlignment="1">
      <alignment vertical="center" wrapText="1"/>
    </xf>
    <xf numFmtId="0" fontId="7" fillId="0" borderId="0" xfId="0" applyFont="1" applyAlignment="1">
      <alignment vertical="center"/>
    </xf>
    <xf numFmtId="0" fontId="8" fillId="0" borderId="0" xfId="0" applyFont="1" applyAlignment="1">
      <alignment horizontal="right" vertical="center"/>
    </xf>
    <xf numFmtId="0" fontId="8" fillId="0" borderId="0" xfId="0" applyFont="1" applyAlignment="1">
      <alignment horizontal="center" vertical="center"/>
    </xf>
    <xf numFmtId="0" fontId="0" fillId="0" borderId="4" xfId="0" applyBorder="1"/>
    <xf numFmtId="0" fontId="9" fillId="0" borderId="0" xfId="0" applyFont="1" applyAlignment="1">
      <alignment horizontal="center" vertical="center"/>
    </xf>
    <xf numFmtId="0" fontId="10" fillId="0" borderId="5" xfId="0" applyFont="1" applyBorder="1" applyAlignment="1">
      <alignment vertical="center"/>
    </xf>
    <xf numFmtId="165" fontId="8" fillId="0" borderId="5" xfId="0" applyNumberFormat="1" applyFont="1" applyBorder="1" applyAlignment="1">
      <alignment horizontal="left" vertical="center" indent="1"/>
    </xf>
    <xf numFmtId="165" fontId="8" fillId="0" borderId="0" xfId="0" applyNumberFormat="1" applyFont="1" applyAlignment="1">
      <alignment horizontal="right" vertical="center"/>
    </xf>
    <xf numFmtId="0" fontId="8" fillId="0" borderId="5" xfId="0" applyFont="1" applyBorder="1" applyAlignment="1">
      <alignment horizontal="left" vertical="center" indent="1"/>
    </xf>
    <xf numFmtId="0" fontId="11" fillId="0" borderId="5" xfId="0" applyFont="1" applyBorder="1" applyAlignment="1">
      <alignment horizontal="center" vertical="center"/>
    </xf>
    <xf numFmtId="0" fontId="12" fillId="0" borderId="0" xfId="0" applyFont="1" applyAlignment="1">
      <alignment vertical="center"/>
    </xf>
    <xf numFmtId="166" fontId="8" fillId="0" borderId="5" xfId="0" applyNumberFormat="1" applyFont="1" applyBorder="1" applyAlignment="1">
      <alignment horizontal="left" vertical="center" indent="1"/>
    </xf>
    <xf numFmtId="166" fontId="13" fillId="0" borderId="6" xfId="0" applyNumberFormat="1" applyFont="1" applyBorder="1" applyAlignment="1">
      <alignment horizontal="center" vertical="center"/>
    </xf>
    <xf numFmtId="0" fontId="14" fillId="0" borderId="5" xfId="0" applyFont="1" applyBorder="1" applyAlignment="1">
      <alignment horizontal="left" vertical="center" wrapText="1" indent="1"/>
    </xf>
    <xf numFmtId="0" fontId="8" fillId="0" borderId="0" xfId="0" applyFont="1" applyAlignment="1">
      <alignment vertical="center" wrapText="1"/>
    </xf>
    <xf numFmtId="0" fontId="8" fillId="0" borderId="0" xfId="0" applyFont="1" applyAlignment="1">
      <alignment vertical="center"/>
    </xf>
    <xf numFmtId="0" fontId="15" fillId="0" borderId="0" xfId="0" applyFont="1" applyAlignment="1">
      <alignment horizontal="center" vertical="center"/>
    </xf>
    <xf numFmtId="0" fontId="16" fillId="0" borderId="0" xfId="0" applyFont="1" applyAlignment="1">
      <alignment vertical="center"/>
    </xf>
    <xf numFmtId="0" fontId="8" fillId="0" borderId="5" xfId="0" applyFont="1" applyBorder="1" applyAlignment="1">
      <alignment vertical="center"/>
    </xf>
    <xf numFmtId="0" fontId="14" fillId="0" borderId="7" xfId="0" applyFont="1" applyBorder="1" applyAlignment="1">
      <alignment horizontal="center" vertical="center"/>
    </xf>
    <xf numFmtId="0" fontId="0" fillId="0" borderId="8" xfId="0" applyBorder="1"/>
    <xf numFmtId="0" fontId="0" fillId="0" borderId="9" xfId="0" applyBorder="1"/>
  </cellXfs>
  <cellStyles count="1">
    <cellStyle name="Normal" xfId="0" builtinId="0"/>
  </cellStyles>
  <dxfs count="2">
    <dxf>
      <font>
        <b/>
        <color rgb="FF0D47A1"/>
      </font>
    </dxf>
    <dxf>
      <font>
        <color rgb="FF6B728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CA3AF"/>
    <pageSetUpPr fitToPage="1"/>
  </sheetPr>
  <dimension ref="A1:C14"/>
  <sheetFormatPr defaultRowHeight="15" outlineLevelRow="0" outlineLevelCol="0" x14ac:dyDescent="55"/>
  <cols>
    <col min="1" max="1" width="7" customWidth="1"/>
    <col min="2" max="2" width="60" customWidth="1"/>
    <col min="3" max="3" width="26" customWidth="1"/>
  </cols>
  <sheetData>
    <row r="1" ht="28" customHeight="1" spans="1:1" x14ac:dyDescent="0.25">
      <c r="A1" s="1" t="s">
        <v>0</v>
      </c>
    </row>
    <row r="3" spans="1:3" x14ac:dyDescent="0.25">
      <c r="A3" s="2" t="s">
        <v>1</v>
      </c>
      <c r="B3" s="2" t="s">
        <v>2</v>
      </c>
      <c r="C3" s="2" t="s">
        <v>3</v>
      </c>
    </row>
    <row r="4" ht="36" customHeight="1" spans="1:3" x14ac:dyDescent="0.25">
      <c r="A4" s="3">
        <v>1</v>
      </c>
      <c r="B4" s="4" t="s">
        <v>4</v>
      </c>
      <c r="C4" s="4" t="s">
        <v>5</v>
      </c>
    </row>
    <row r="5" ht="36" customHeight="1" spans="1:3" x14ac:dyDescent="0.25">
      <c r="A5" s="3">
        <v>2</v>
      </c>
      <c r="B5" s="4" t="s">
        <v>6</v>
      </c>
      <c r="C5" s="4" t="s">
        <v>7</v>
      </c>
    </row>
    <row r="6" ht="60" customHeight="1" spans="1:3" x14ac:dyDescent="0.25">
      <c r="A6" s="3">
        <v>3</v>
      </c>
      <c r="B6" s="4" t="s">
        <v>8</v>
      </c>
      <c r="C6" s="4" t="s">
        <v>9</v>
      </c>
    </row>
    <row r="7" ht="36" customHeight="1" spans="1:3" x14ac:dyDescent="0.25">
      <c r="A7" s="3">
        <v>4</v>
      </c>
      <c r="B7" s="4" t="s">
        <v>10</v>
      </c>
      <c r="C7" s="4" t="s">
        <v>11</v>
      </c>
    </row>
    <row r="8" ht="36" customHeight="1" spans="1:3" x14ac:dyDescent="0.25">
      <c r="A8" s="3">
        <v>5</v>
      </c>
      <c r="B8" s="4" t="s">
        <v>12</v>
      </c>
      <c r="C8" s="4" t="s">
        <v>13</v>
      </c>
    </row>
    <row r="9" ht="36" customHeight="1" spans="1:3" x14ac:dyDescent="0.25">
      <c r="A9" s="3">
        <v>6</v>
      </c>
      <c r="B9" s="4" t="s">
        <v>14</v>
      </c>
      <c r="C9" s="4" t="s">
        <v>15</v>
      </c>
    </row>
    <row r="11" ht="48" customHeight="1" spans="1:3" x14ac:dyDescent="0.25">
      <c r="A11" s="5" t="s">
        <v>16</v>
      </c>
      <c r="B11" s="5"/>
      <c r="C11" s="5"/>
    </row>
    <row r="12" ht="36" customHeight="1" spans="1:3" x14ac:dyDescent="0.25">
      <c r="A12" s="6" t="s">
        <v>17</v>
      </c>
      <c r="B12" s="6"/>
      <c r="C12" s="6"/>
    </row>
    <row r="13" ht="36" customHeight="1" spans="1:3" x14ac:dyDescent="0.25">
      <c r="A13" s="6" t="s">
        <v>18</v>
      </c>
      <c r="B13" s="6"/>
      <c r="C13" s="6"/>
    </row>
    <row r="14" ht="24" customHeight="1" spans="1:3" x14ac:dyDescent="0.25">
      <c r="A14" s="6" t="s">
        <v>19</v>
      </c>
      <c r="B14" s="6"/>
      <c r="C14" s="6"/>
    </row>
  </sheetData>
  <sheetProtection sheet="1" formatColumns="0" formatRows="0"/>
  <mergeCells count="4">
    <mergeCell ref="A11:C11"/>
    <mergeCell ref="A12:C12"/>
    <mergeCell ref="A13:C13"/>
    <mergeCell ref="A14:C14"/>
  </mergeCells>
  <pageMargins left="0.5" right="0.5" top="0.6" bottom="0.6" header="0.2" footer="0.2"/>
  <pageSetup paperSize="9"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D47A1"/>
    <pageSetUpPr fitToPage="1"/>
  </sheetPr>
  <dimension ref="A1:M59"/>
  <sheetViews>
    <sheetView workbookViewId="0">
      <pane ySplit="9" topLeftCell="A10" activePane="bottomLeft" state="frozen"/>
      <selection pane="bottomLeft"/>
    </sheetView>
  </sheetViews>
  <sheetFormatPr defaultRowHeight="15" outlineLevelRow="0" outlineLevelCol="0" x14ac:dyDescent="55"/>
  <cols>
    <col min="1" max="1" width="11" customWidth="1"/>
    <col min="2" max="2" width="6" customWidth="1"/>
    <col min="3" max="3" width="16" customWidth="1"/>
    <col min="4" max="4" width="12" customWidth="1"/>
    <col min="5" max="5" width="34" customWidth="1"/>
    <col min="6" max="6" width="11" customWidth="1"/>
    <col min="7" max="7" width="16" customWidth="1"/>
    <col min="10" max="10" width="10" customWidth="1"/>
    <col min="11" max="11" width="2" customWidth="1"/>
    <col min="12" max="12" width="26" customWidth="1"/>
    <col min="13" max="13" width="12" customWidth="1"/>
  </cols>
  <sheetData>
    <row r="1" ht="28" customHeight="1" spans="1:10" x14ac:dyDescent="0.25">
      <c r="A1" s="1" t="s">
        <v>20</v>
      </c>
      <c r="B1" s="1"/>
      <c r="C1" s="1"/>
      <c r="D1" s="1"/>
      <c r="E1" s="1"/>
      <c r="F1" s="1"/>
      <c r="G1" s="1"/>
      <c r="H1" s="1"/>
      <c r="I1" s="1"/>
      <c r="J1" s="1"/>
    </row>
    <row r="2" ht="32" customHeight="1" spans="1:5" x14ac:dyDescent="0.25">
      <c r="A2" s="7" t="s">
        <v>21</v>
      </c>
      <c r="B2" s="8"/>
      <c r="C2" s="9" t="s">
        <v>22</v>
      </c>
      <c r="D2" s="9"/>
      <c r="E2" s="9"/>
    </row>
    <row r="3" ht="22" customHeight="1" spans="1:4" x14ac:dyDescent="0.25">
      <c r="A3" s="7" t="s">
        <v>23</v>
      </c>
      <c r="B3" s="10"/>
      <c r="C3" s="10"/>
      <c r="D3" s="10"/>
    </row>
    <row r="4" ht="32" customHeight="1" spans="1:4" x14ac:dyDescent="0.25">
      <c r="A4" s="7" t="s">
        <v>24</v>
      </c>
      <c r="B4" s="10"/>
      <c r="C4" s="10"/>
      <c r="D4" s="10"/>
    </row>
    <row r="5" ht="32" customHeight="1" spans="1:3" x14ac:dyDescent="0.25">
      <c r="A5" s="7" t="s">
        <v>25</v>
      </c>
      <c r="B5" s="11"/>
      <c r="C5" s="11"/>
    </row>
    <row r="6" ht="32" customHeight="1" spans="1:5" x14ac:dyDescent="0.25">
      <c r="A6" s="7" t="s">
        <v>26</v>
      </c>
      <c r="B6" s="4">
        <f>IF(B2="","",B2&amp;"年度 自治会費（"&amp;B2&amp;"年4月〜"&amp;(B2+1)&amp;"年3月分）として")</f>
      </c>
      <c r="C6" s="4"/>
      <c r="D6" s="4"/>
      <c r="E6" s="4"/>
    </row>
    <row r="9" ht="34" customHeight="1" spans="1:13" x14ac:dyDescent="0.25">
      <c r="A9" s="2" t="s">
        <v>27</v>
      </c>
      <c r="B9" s="2" t="s">
        <v>28</v>
      </c>
      <c r="C9" s="2" t="s">
        <v>29</v>
      </c>
      <c r="D9" s="2" t="s">
        <v>30</v>
      </c>
      <c r="E9" s="2" t="s">
        <v>31</v>
      </c>
      <c r="F9" s="2" t="s">
        <v>32</v>
      </c>
      <c r="G9" s="2" t="s">
        <v>33</v>
      </c>
      <c r="H9" s="2" t="s">
        <v>34</v>
      </c>
      <c r="I9" s="2" t="s">
        <v>35</v>
      </c>
      <c r="J9" s="2" t="s">
        <v>36</v>
      </c>
      <c r="L9" s="2" t="s">
        <v>37</v>
      </c>
      <c r="M9" s="2" t="s">
        <v>38</v>
      </c>
    </row>
    <row r="10" ht="20" customHeight="1" spans="1:13" x14ac:dyDescent="0.25">
      <c r="A10" s="12">
        <f>IF($B$2="",ROW()-9,$B$2&amp;"-"&amp;RIGHT("00"&amp;(ROW()-9),3))</f>
      </c>
      <c r="B10" s="13"/>
      <c r="C10" s="10"/>
      <c r="D10" s="11"/>
      <c r="E10" s="10"/>
      <c r="F10" s="14"/>
      <c r="G10" s="10"/>
      <c r="H10" s="13"/>
      <c r="I10" s="12">
        <f>IF(H10="書き損じ","書き損じ",IF(C10="","",IF(F10="","未受領","受領済み")))</f>
      </c>
      <c r="J10" s="15">
        <f>IF(I10="受領済み",IF(D10="",N($B$5),D10),0)</f>
      </c>
      <c r="L10" s="16" t="s">
        <v>39</v>
      </c>
      <c r="M10" s="17">
        <f>COUNTA(C10:C57)</f>
      </c>
    </row>
    <row r="11" ht="20" customHeight="1" spans="1:13" x14ac:dyDescent="0.25">
      <c r="A11" s="12">
        <f>IF($B$2="",ROW()-9,$B$2&amp;"-"&amp;RIGHT("00"&amp;(ROW()-9),3))</f>
      </c>
      <c r="B11" s="13"/>
      <c r="C11" s="10"/>
      <c r="D11" s="11"/>
      <c r="E11" s="10"/>
      <c r="F11" s="14"/>
      <c r="G11" s="10"/>
      <c r="H11" s="13"/>
      <c r="I11" s="12">
        <f>IF(H11="書き損じ","書き損じ",IF(C11="","",IF(F11="","未受領","受領済み")))</f>
      </c>
      <c r="J11" s="15">
        <f>IF(I11="受領済み",IF(D11="",N($B$5),D11),0)</f>
      </c>
      <c r="L11" s="16" t="s">
        <v>40</v>
      </c>
      <c r="M11" s="17">
        <f>COUNTIF(I10:I57,"受領済み")</f>
      </c>
    </row>
    <row r="12" ht="20" customHeight="1" spans="1:13" x14ac:dyDescent="0.25">
      <c r="A12" s="12">
        <f>IF($B$2="",ROW()-9,$B$2&amp;"-"&amp;RIGHT("00"&amp;(ROW()-9),3))</f>
      </c>
      <c r="B12" s="13"/>
      <c r="C12" s="10"/>
      <c r="D12" s="11"/>
      <c r="E12" s="10"/>
      <c r="F12" s="14"/>
      <c r="G12" s="10"/>
      <c r="H12" s="13"/>
      <c r="I12" s="12">
        <f>IF(H12="書き損じ","書き損じ",IF(C12="","",IF(F12="","未受領","受領済み")))</f>
      </c>
      <c r="J12" s="15">
        <f>IF(I12="受領済み",IF(D12="",N($B$5),D12),0)</f>
      </c>
      <c r="L12" s="16" t="s">
        <v>41</v>
      </c>
      <c r="M12" s="17">
        <f>COUNTIF(I10:I57,"未受領")</f>
      </c>
    </row>
    <row r="13" ht="20" customHeight="1" spans="1:13" x14ac:dyDescent="0.25">
      <c r="A13" s="12">
        <f>IF($B$2="",ROW()-9,$B$2&amp;"-"&amp;RIGHT("00"&amp;(ROW()-9),3))</f>
      </c>
      <c r="B13" s="13"/>
      <c r="C13" s="10"/>
      <c r="D13" s="11"/>
      <c r="E13" s="10"/>
      <c r="F13" s="14"/>
      <c r="G13" s="10"/>
      <c r="H13" s="13"/>
      <c r="I13" s="12">
        <f>IF(H13="書き損じ","書き損じ",IF(C13="","",IF(F13="","未受領","受領済み")))</f>
      </c>
      <c r="J13" s="15">
        <f>IF(I13="受領済み",IF(D13="",N($B$5),D13),0)</f>
      </c>
      <c r="L13" s="16" t="s">
        <v>34</v>
      </c>
      <c r="M13" s="17">
        <f>COUNTIF(H10:H57,"書き損じ")</f>
      </c>
    </row>
    <row r="14" ht="20" customHeight="1" spans="1:13" x14ac:dyDescent="0.25">
      <c r="A14" s="12">
        <f>IF($B$2="",ROW()-9,$B$2&amp;"-"&amp;RIGHT("00"&amp;(ROW()-9),3))</f>
      </c>
      <c r="B14" s="13"/>
      <c r="C14" s="10"/>
      <c r="D14" s="11"/>
      <c r="E14" s="10"/>
      <c r="F14" s="14"/>
      <c r="G14" s="10"/>
      <c r="H14" s="13"/>
      <c r="I14" s="12">
        <f>IF(H14="書き損じ","書き損じ",IF(C14="","",IF(F14="","未受領","受領済み")))</f>
      </c>
      <c r="J14" s="15">
        <f>IF(I14="受領済み",IF(D14="",N($B$5),D14),0)</f>
      </c>
      <c r="L14" s="16" t="s">
        <v>36</v>
      </c>
      <c r="M14" s="18">
        <f>SUM(J10:J57)</f>
      </c>
    </row>
    <row r="15" ht="20" customHeight="1" spans="1:13" x14ac:dyDescent="0.25">
      <c r="A15" s="12">
        <f>IF($B$2="",ROW()-9,$B$2&amp;"-"&amp;RIGHT("00"&amp;(ROW()-9),3))</f>
      </c>
      <c r="B15" s="13"/>
      <c r="C15" s="10"/>
      <c r="D15" s="11"/>
      <c r="E15" s="10"/>
      <c r="F15" s="14"/>
      <c r="G15" s="10"/>
      <c r="H15" s="13"/>
      <c r="I15" s="12">
        <f>IF(H15="書き損じ","書き損じ",IF(C15="","",IF(F15="","未受領","受領済み")))</f>
      </c>
      <c r="J15" s="15">
        <f>IF(I15="受領済み",IF(D15="",N($B$5),D15),0)</f>
      </c>
      <c r="L15" s="16" t="s">
        <v>42</v>
      </c>
      <c r="M15" s="11"/>
    </row>
    <row r="16" ht="20" customHeight="1" spans="1:13" x14ac:dyDescent="0.25">
      <c r="A16" s="12">
        <f>IF($B$2="",ROW()-9,$B$2&amp;"-"&amp;RIGHT("00"&amp;(ROW()-9),3))</f>
      </c>
      <c r="B16" s="13"/>
      <c r="C16" s="10"/>
      <c r="D16" s="11"/>
      <c r="E16" s="10"/>
      <c r="F16" s="14"/>
      <c r="G16" s="10"/>
      <c r="H16" s="13"/>
      <c r="I16" s="12">
        <f>IF(H16="書き損じ","書き損じ",IF(C16="","",IF(F16="","未受領","受領済み")))</f>
      </c>
      <c r="J16" s="15">
        <f>IF(I16="受領済み",IF(D16="",N($B$5),D16),0)</f>
      </c>
      <c r="L16" s="16" t="s">
        <v>43</v>
      </c>
      <c r="M16" s="19">
        <f>IF(M15="","",IF(M15=M14,"一致","差 "&amp;(M15-M14)&amp;" 円"))</f>
      </c>
    </row>
    <row r="17" ht="20" customHeight="1" spans="1:13" x14ac:dyDescent="0.25">
      <c r="A17" s="12">
        <f>IF($B$2="",ROW()-9,$B$2&amp;"-"&amp;RIGHT("00"&amp;(ROW()-9),3))</f>
      </c>
      <c r="B17" s="13"/>
      <c r="C17" s="10"/>
      <c r="D17" s="11"/>
      <c r="E17" s="10"/>
      <c r="F17" s="14"/>
      <c r="G17" s="10"/>
      <c r="H17" s="13"/>
      <c r="I17" s="12">
        <f>IF(H17="書き損じ","書き損じ",IF(C17="","",IF(F17="","未受領","受領済み")))</f>
      </c>
      <c r="J17" s="15">
        <f>IF(I17="受領済み",IF(D17="",N($B$5),D17),0)</f>
      </c>
      <c r="L17" s="16" t="s">
        <v>44</v>
      </c>
      <c r="M17" s="17">
        <f>COUNTIF(D10:D57,"&gt;=50000")</f>
      </c>
    </row>
    <row r="18" ht="20" customHeight="1" spans="1:10" x14ac:dyDescent="0.25">
      <c r="A18" s="12">
        <f>IF($B$2="",ROW()-9,$B$2&amp;"-"&amp;RIGHT("00"&amp;(ROW()-9),3))</f>
      </c>
      <c r="B18" s="13"/>
      <c r="C18" s="10"/>
      <c r="D18" s="11"/>
      <c r="E18" s="10"/>
      <c r="F18" s="14"/>
      <c r="G18" s="10"/>
      <c r="H18" s="13"/>
      <c r="I18" s="12">
        <f>IF(H18="書き損じ","書き損じ",IF(C18="","",IF(F18="","未受領","受領済み")))</f>
      </c>
      <c r="J18" s="15">
        <f>IF(I18="受領済み",IF(D18="",N($B$5),D18),0)</f>
      </c>
    </row>
    <row r="19" ht="20" customHeight="1" spans="1:10" x14ac:dyDescent="0.25">
      <c r="A19" s="12">
        <f>IF($B$2="",ROW()-9,$B$2&amp;"-"&amp;RIGHT("00"&amp;(ROW()-9),3))</f>
      </c>
      <c r="B19" s="13"/>
      <c r="C19" s="10"/>
      <c r="D19" s="11"/>
      <c r="E19" s="10"/>
      <c r="F19" s="14"/>
      <c r="G19" s="10"/>
      <c r="H19" s="13"/>
      <c r="I19" s="12">
        <f>IF(H19="書き損じ","書き損じ",IF(C19="","",IF(F19="","未受領","受領済み")))</f>
      </c>
      <c r="J19" s="15">
        <f>IF(I19="受領済み",IF(D19="",N($B$5),D19),0)</f>
      </c>
    </row>
    <row r="20" ht="20" customHeight="1" spans="1:10" x14ac:dyDescent="0.25">
      <c r="A20" s="12">
        <f>IF($B$2="",ROW()-9,$B$2&amp;"-"&amp;RIGHT("00"&amp;(ROW()-9),3))</f>
      </c>
      <c r="B20" s="13"/>
      <c r="C20" s="10"/>
      <c r="D20" s="11"/>
      <c r="E20" s="10"/>
      <c r="F20" s="14"/>
      <c r="G20" s="10"/>
      <c r="H20" s="13"/>
      <c r="I20" s="12">
        <f>IF(H20="書き損じ","書き損じ",IF(C20="","",IF(F20="","未受領","受領済み")))</f>
      </c>
      <c r="J20" s="15">
        <f>IF(I20="受領済み",IF(D20="",N($B$5),D20),0)</f>
      </c>
    </row>
    <row r="21" ht="20" customHeight="1" spans="1:10" x14ac:dyDescent="0.25">
      <c r="A21" s="12">
        <f>IF($B$2="",ROW()-9,$B$2&amp;"-"&amp;RIGHT("00"&amp;(ROW()-9),3))</f>
      </c>
      <c r="B21" s="13"/>
      <c r="C21" s="10"/>
      <c r="D21" s="11"/>
      <c r="E21" s="10"/>
      <c r="F21" s="14"/>
      <c r="G21" s="10"/>
      <c r="H21" s="13"/>
      <c r="I21" s="12">
        <f>IF(H21="書き損じ","書き損じ",IF(C21="","",IF(F21="","未受領","受領済み")))</f>
      </c>
      <c r="J21" s="15">
        <f>IF(I21="受領済み",IF(D21="",N($B$5),D21),0)</f>
      </c>
    </row>
    <row r="22" ht="20" customHeight="1" spans="1:10" x14ac:dyDescent="0.25">
      <c r="A22" s="12">
        <f>IF($B$2="",ROW()-9,$B$2&amp;"-"&amp;RIGHT("00"&amp;(ROW()-9),3))</f>
      </c>
      <c r="B22" s="13"/>
      <c r="C22" s="10"/>
      <c r="D22" s="11"/>
      <c r="E22" s="10"/>
      <c r="F22" s="14"/>
      <c r="G22" s="10"/>
      <c r="H22" s="13"/>
      <c r="I22" s="12">
        <f>IF(H22="書き損じ","書き損じ",IF(C22="","",IF(F22="","未受領","受領済み")))</f>
      </c>
      <c r="J22" s="15">
        <f>IF(I22="受領済み",IF(D22="",N($B$5),D22),0)</f>
      </c>
    </row>
    <row r="23" ht="20" customHeight="1" spans="1:10" x14ac:dyDescent="0.25">
      <c r="A23" s="12">
        <f>IF($B$2="",ROW()-9,$B$2&amp;"-"&amp;RIGHT("00"&amp;(ROW()-9),3))</f>
      </c>
      <c r="B23" s="13"/>
      <c r="C23" s="10"/>
      <c r="D23" s="11"/>
      <c r="E23" s="10"/>
      <c r="F23" s="14"/>
      <c r="G23" s="10"/>
      <c r="H23" s="13"/>
      <c r="I23" s="12">
        <f>IF(H23="書き損じ","書き損じ",IF(C23="","",IF(F23="","未受領","受領済み")))</f>
      </c>
      <c r="J23" s="15">
        <f>IF(I23="受領済み",IF(D23="",N($B$5),D23),0)</f>
      </c>
    </row>
    <row r="24" ht="20" customHeight="1" spans="1:10" x14ac:dyDescent="0.25">
      <c r="A24" s="12">
        <f>IF($B$2="",ROW()-9,$B$2&amp;"-"&amp;RIGHT("00"&amp;(ROW()-9),3))</f>
      </c>
      <c r="B24" s="13"/>
      <c r="C24" s="10"/>
      <c r="D24" s="11"/>
      <c r="E24" s="10"/>
      <c r="F24" s="14"/>
      <c r="G24" s="10"/>
      <c r="H24" s="13"/>
      <c r="I24" s="12">
        <f>IF(H24="書き損じ","書き損じ",IF(C24="","",IF(F24="","未受領","受領済み")))</f>
      </c>
      <c r="J24" s="15">
        <f>IF(I24="受領済み",IF(D24="",N($B$5),D24),0)</f>
      </c>
    </row>
    <row r="25" ht="20" customHeight="1" spans="1:10" x14ac:dyDescent="0.25">
      <c r="A25" s="12">
        <f>IF($B$2="",ROW()-9,$B$2&amp;"-"&amp;RIGHT("00"&amp;(ROW()-9),3))</f>
      </c>
      <c r="B25" s="13"/>
      <c r="C25" s="10"/>
      <c r="D25" s="11"/>
      <c r="E25" s="10"/>
      <c r="F25" s="14"/>
      <c r="G25" s="10"/>
      <c r="H25" s="13"/>
      <c r="I25" s="12">
        <f>IF(H25="書き損じ","書き損じ",IF(C25="","",IF(F25="","未受領","受領済み")))</f>
      </c>
      <c r="J25" s="15">
        <f>IF(I25="受領済み",IF(D25="",N($B$5),D25),0)</f>
      </c>
    </row>
    <row r="26" ht="20" customHeight="1" spans="1:10" x14ac:dyDescent="0.25">
      <c r="A26" s="12">
        <f>IF($B$2="",ROW()-9,$B$2&amp;"-"&amp;RIGHT("00"&amp;(ROW()-9),3))</f>
      </c>
      <c r="B26" s="13"/>
      <c r="C26" s="10"/>
      <c r="D26" s="11"/>
      <c r="E26" s="10"/>
      <c r="F26" s="14"/>
      <c r="G26" s="10"/>
      <c r="H26" s="13"/>
      <c r="I26" s="12">
        <f>IF(H26="書き損じ","書き損じ",IF(C26="","",IF(F26="","未受領","受領済み")))</f>
      </c>
      <c r="J26" s="15">
        <f>IF(I26="受領済み",IF(D26="",N($B$5),D26),0)</f>
      </c>
    </row>
    <row r="27" ht="20" customHeight="1" spans="1:10" x14ac:dyDescent="0.25">
      <c r="A27" s="12">
        <f>IF($B$2="",ROW()-9,$B$2&amp;"-"&amp;RIGHT("00"&amp;(ROW()-9),3))</f>
      </c>
      <c r="B27" s="13"/>
      <c r="C27" s="10"/>
      <c r="D27" s="11"/>
      <c r="E27" s="10"/>
      <c r="F27" s="14"/>
      <c r="G27" s="10"/>
      <c r="H27" s="13"/>
      <c r="I27" s="12">
        <f>IF(H27="書き損じ","書き損じ",IF(C27="","",IF(F27="","未受領","受領済み")))</f>
      </c>
      <c r="J27" s="15">
        <f>IF(I27="受領済み",IF(D27="",N($B$5),D27),0)</f>
      </c>
    </row>
    <row r="28" ht="20" customHeight="1" spans="1:10" x14ac:dyDescent="0.25">
      <c r="A28" s="12">
        <f>IF($B$2="",ROW()-9,$B$2&amp;"-"&amp;RIGHT("00"&amp;(ROW()-9),3))</f>
      </c>
      <c r="B28" s="13"/>
      <c r="C28" s="10"/>
      <c r="D28" s="11"/>
      <c r="E28" s="10"/>
      <c r="F28" s="14"/>
      <c r="G28" s="10"/>
      <c r="H28" s="13"/>
      <c r="I28" s="12">
        <f>IF(H28="書き損じ","書き損じ",IF(C28="","",IF(F28="","未受領","受領済み")))</f>
      </c>
      <c r="J28" s="15">
        <f>IF(I28="受領済み",IF(D28="",N($B$5),D28),0)</f>
      </c>
    </row>
    <row r="29" ht="20" customHeight="1" spans="1:10" x14ac:dyDescent="0.25">
      <c r="A29" s="12">
        <f>IF($B$2="",ROW()-9,$B$2&amp;"-"&amp;RIGHT("00"&amp;(ROW()-9),3))</f>
      </c>
      <c r="B29" s="13"/>
      <c r="C29" s="10"/>
      <c r="D29" s="11"/>
      <c r="E29" s="10"/>
      <c r="F29" s="14"/>
      <c r="G29" s="10"/>
      <c r="H29" s="13"/>
      <c r="I29" s="12">
        <f>IF(H29="書き損じ","書き損じ",IF(C29="","",IF(F29="","未受領","受領済み")))</f>
      </c>
      <c r="J29" s="15">
        <f>IF(I29="受領済み",IF(D29="",N($B$5),D29),0)</f>
      </c>
    </row>
    <row r="30" ht="20" customHeight="1" spans="1:10" x14ac:dyDescent="0.25">
      <c r="A30" s="12">
        <f>IF($B$2="",ROW()-9,$B$2&amp;"-"&amp;RIGHT("00"&amp;(ROW()-9),3))</f>
      </c>
      <c r="B30" s="13"/>
      <c r="C30" s="10"/>
      <c r="D30" s="11"/>
      <c r="E30" s="10"/>
      <c r="F30" s="14"/>
      <c r="G30" s="10"/>
      <c r="H30" s="13"/>
      <c r="I30" s="12">
        <f>IF(H30="書き損じ","書き損じ",IF(C30="","",IF(F30="","未受領","受領済み")))</f>
      </c>
      <c r="J30" s="15">
        <f>IF(I30="受領済み",IF(D30="",N($B$5),D30),0)</f>
      </c>
    </row>
    <row r="31" ht="20" customHeight="1" spans="1:10" x14ac:dyDescent="0.25">
      <c r="A31" s="12">
        <f>IF($B$2="",ROW()-9,$B$2&amp;"-"&amp;RIGHT("00"&amp;(ROW()-9),3))</f>
      </c>
      <c r="B31" s="13"/>
      <c r="C31" s="10"/>
      <c r="D31" s="11"/>
      <c r="E31" s="10"/>
      <c r="F31" s="14"/>
      <c r="G31" s="10"/>
      <c r="H31" s="13"/>
      <c r="I31" s="12">
        <f>IF(H31="書き損じ","書き損じ",IF(C31="","",IF(F31="","未受領","受領済み")))</f>
      </c>
      <c r="J31" s="15">
        <f>IF(I31="受領済み",IF(D31="",N($B$5),D31),0)</f>
      </c>
    </row>
    <row r="32" ht="20" customHeight="1" spans="1:10" x14ac:dyDescent="0.25">
      <c r="A32" s="12">
        <f>IF($B$2="",ROW()-9,$B$2&amp;"-"&amp;RIGHT("00"&amp;(ROW()-9),3))</f>
      </c>
      <c r="B32" s="13"/>
      <c r="C32" s="10"/>
      <c r="D32" s="11"/>
      <c r="E32" s="10"/>
      <c r="F32" s="14"/>
      <c r="G32" s="10"/>
      <c r="H32" s="13"/>
      <c r="I32" s="12">
        <f>IF(H32="書き損じ","書き損じ",IF(C32="","",IF(F32="","未受領","受領済み")))</f>
      </c>
      <c r="J32" s="15">
        <f>IF(I32="受領済み",IF(D32="",N($B$5),D32),0)</f>
      </c>
    </row>
    <row r="33" ht="20" customHeight="1" spans="1:10" x14ac:dyDescent="0.25">
      <c r="A33" s="12">
        <f>IF($B$2="",ROW()-9,$B$2&amp;"-"&amp;RIGHT("00"&amp;(ROW()-9),3))</f>
      </c>
      <c r="B33" s="13"/>
      <c r="C33" s="10"/>
      <c r="D33" s="11"/>
      <c r="E33" s="10"/>
      <c r="F33" s="14"/>
      <c r="G33" s="10"/>
      <c r="H33" s="13"/>
      <c r="I33" s="12">
        <f>IF(H33="書き損じ","書き損じ",IF(C33="","",IF(F33="","未受領","受領済み")))</f>
      </c>
      <c r="J33" s="15">
        <f>IF(I33="受領済み",IF(D33="",N($B$5),D33),0)</f>
      </c>
    </row>
    <row r="34" ht="20" customHeight="1" spans="1:10" x14ac:dyDescent="0.25">
      <c r="A34" s="12">
        <f>IF($B$2="",ROW()-9,$B$2&amp;"-"&amp;RIGHT("00"&amp;(ROW()-9),3))</f>
      </c>
      <c r="B34" s="13"/>
      <c r="C34" s="10"/>
      <c r="D34" s="11"/>
      <c r="E34" s="10"/>
      <c r="F34" s="14"/>
      <c r="G34" s="10"/>
      <c r="H34" s="13"/>
      <c r="I34" s="12">
        <f>IF(H34="書き損じ","書き損じ",IF(C34="","",IF(F34="","未受領","受領済み")))</f>
      </c>
      <c r="J34" s="15">
        <f>IF(I34="受領済み",IF(D34="",N($B$5),D34),0)</f>
      </c>
    </row>
    <row r="35" ht="20" customHeight="1" spans="1:10" x14ac:dyDescent="0.25">
      <c r="A35" s="12">
        <f>IF($B$2="",ROW()-9,$B$2&amp;"-"&amp;RIGHT("00"&amp;(ROW()-9),3))</f>
      </c>
      <c r="B35" s="13"/>
      <c r="C35" s="10"/>
      <c r="D35" s="11"/>
      <c r="E35" s="10"/>
      <c r="F35" s="14"/>
      <c r="G35" s="10"/>
      <c r="H35" s="13"/>
      <c r="I35" s="12">
        <f>IF(H35="書き損じ","書き損じ",IF(C35="","",IF(F35="","未受領","受領済み")))</f>
      </c>
      <c r="J35" s="15">
        <f>IF(I35="受領済み",IF(D35="",N($B$5),D35),0)</f>
      </c>
    </row>
    <row r="36" ht="20" customHeight="1" spans="1:10" x14ac:dyDescent="0.25">
      <c r="A36" s="12">
        <f>IF($B$2="",ROW()-9,$B$2&amp;"-"&amp;RIGHT("00"&amp;(ROW()-9),3))</f>
      </c>
      <c r="B36" s="13"/>
      <c r="C36" s="10"/>
      <c r="D36" s="11"/>
      <c r="E36" s="10"/>
      <c r="F36" s="14"/>
      <c r="G36" s="10"/>
      <c r="H36" s="13"/>
      <c r="I36" s="12">
        <f>IF(H36="書き損じ","書き損じ",IF(C36="","",IF(F36="","未受領","受領済み")))</f>
      </c>
      <c r="J36" s="15">
        <f>IF(I36="受領済み",IF(D36="",N($B$5),D36),0)</f>
      </c>
    </row>
    <row r="37" ht="20" customHeight="1" spans="1:10" x14ac:dyDescent="0.25">
      <c r="A37" s="12">
        <f>IF($B$2="",ROW()-9,$B$2&amp;"-"&amp;RIGHT("00"&amp;(ROW()-9),3))</f>
      </c>
      <c r="B37" s="13"/>
      <c r="C37" s="10"/>
      <c r="D37" s="11"/>
      <c r="E37" s="10"/>
      <c r="F37" s="14"/>
      <c r="G37" s="10"/>
      <c r="H37" s="13"/>
      <c r="I37" s="12">
        <f>IF(H37="書き損じ","書き損じ",IF(C37="","",IF(F37="","未受領","受領済み")))</f>
      </c>
      <c r="J37" s="15">
        <f>IF(I37="受領済み",IF(D37="",N($B$5),D37),0)</f>
      </c>
    </row>
    <row r="38" ht="20" customHeight="1" spans="1:10" x14ac:dyDescent="0.25">
      <c r="A38" s="12">
        <f>IF($B$2="",ROW()-9,$B$2&amp;"-"&amp;RIGHT("00"&amp;(ROW()-9),3))</f>
      </c>
      <c r="B38" s="13"/>
      <c r="C38" s="10"/>
      <c r="D38" s="11"/>
      <c r="E38" s="10"/>
      <c r="F38" s="14"/>
      <c r="G38" s="10"/>
      <c r="H38" s="13"/>
      <c r="I38" s="12">
        <f>IF(H38="書き損じ","書き損じ",IF(C38="","",IF(F38="","未受領","受領済み")))</f>
      </c>
      <c r="J38" s="15">
        <f>IF(I38="受領済み",IF(D38="",N($B$5),D38),0)</f>
      </c>
    </row>
    <row r="39" ht="20" customHeight="1" spans="1:10" x14ac:dyDescent="0.25">
      <c r="A39" s="12">
        <f>IF($B$2="",ROW()-9,$B$2&amp;"-"&amp;RIGHT("00"&amp;(ROW()-9),3))</f>
      </c>
      <c r="B39" s="13"/>
      <c r="C39" s="10"/>
      <c r="D39" s="11"/>
      <c r="E39" s="10"/>
      <c r="F39" s="14"/>
      <c r="G39" s="10"/>
      <c r="H39" s="13"/>
      <c r="I39" s="12">
        <f>IF(H39="書き損じ","書き損じ",IF(C39="","",IF(F39="","未受領","受領済み")))</f>
      </c>
      <c r="J39" s="15">
        <f>IF(I39="受領済み",IF(D39="",N($B$5),D39),0)</f>
      </c>
    </row>
    <row r="40" ht="20" customHeight="1" spans="1:10" x14ac:dyDescent="0.25">
      <c r="A40" s="12">
        <f>IF($B$2="",ROW()-9,$B$2&amp;"-"&amp;RIGHT("00"&amp;(ROW()-9),3))</f>
      </c>
      <c r="B40" s="13"/>
      <c r="C40" s="10"/>
      <c r="D40" s="11"/>
      <c r="E40" s="10"/>
      <c r="F40" s="14"/>
      <c r="G40" s="10"/>
      <c r="H40" s="13"/>
      <c r="I40" s="12">
        <f>IF(H40="書き損じ","書き損じ",IF(C40="","",IF(F40="","未受領","受領済み")))</f>
      </c>
      <c r="J40" s="15">
        <f>IF(I40="受領済み",IF(D40="",N($B$5),D40),0)</f>
      </c>
    </row>
    <row r="41" ht="20" customHeight="1" spans="1:10" x14ac:dyDescent="0.25">
      <c r="A41" s="12">
        <f>IF($B$2="",ROW()-9,$B$2&amp;"-"&amp;RIGHT("00"&amp;(ROW()-9),3))</f>
      </c>
      <c r="B41" s="13"/>
      <c r="C41" s="10"/>
      <c r="D41" s="11"/>
      <c r="E41" s="10"/>
      <c r="F41" s="14"/>
      <c r="G41" s="10"/>
      <c r="H41" s="13"/>
      <c r="I41" s="12">
        <f>IF(H41="書き損じ","書き損じ",IF(C41="","",IF(F41="","未受領","受領済み")))</f>
      </c>
      <c r="J41" s="15">
        <f>IF(I41="受領済み",IF(D41="",N($B$5),D41),0)</f>
      </c>
    </row>
    <row r="42" ht="20" customHeight="1" spans="1:10" x14ac:dyDescent="0.25">
      <c r="A42" s="12">
        <f>IF($B$2="",ROW()-9,$B$2&amp;"-"&amp;RIGHT("00"&amp;(ROW()-9),3))</f>
      </c>
      <c r="B42" s="13"/>
      <c r="C42" s="10"/>
      <c r="D42" s="11"/>
      <c r="E42" s="10"/>
      <c r="F42" s="14"/>
      <c r="G42" s="10"/>
      <c r="H42" s="13"/>
      <c r="I42" s="12">
        <f>IF(H42="書き損じ","書き損じ",IF(C42="","",IF(F42="","未受領","受領済み")))</f>
      </c>
      <c r="J42" s="15">
        <f>IF(I42="受領済み",IF(D42="",N($B$5),D42),0)</f>
      </c>
    </row>
    <row r="43" ht="20" customHeight="1" spans="1:10" x14ac:dyDescent="0.25">
      <c r="A43" s="12">
        <f>IF($B$2="",ROW()-9,$B$2&amp;"-"&amp;RIGHT("00"&amp;(ROW()-9),3))</f>
      </c>
      <c r="B43" s="13"/>
      <c r="C43" s="10"/>
      <c r="D43" s="11"/>
      <c r="E43" s="10"/>
      <c r="F43" s="14"/>
      <c r="G43" s="10"/>
      <c r="H43" s="13"/>
      <c r="I43" s="12">
        <f>IF(H43="書き損じ","書き損じ",IF(C43="","",IF(F43="","未受領","受領済み")))</f>
      </c>
      <c r="J43" s="15">
        <f>IF(I43="受領済み",IF(D43="",N($B$5),D43),0)</f>
      </c>
    </row>
    <row r="44" ht="20" customHeight="1" spans="1:10" x14ac:dyDescent="0.25">
      <c r="A44" s="12">
        <f>IF($B$2="",ROW()-9,$B$2&amp;"-"&amp;RIGHT("00"&amp;(ROW()-9),3))</f>
      </c>
      <c r="B44" s="13"/>
      <c r="C44" s="10"/>
      <c r="D44" s="11"/>
      <c r="E44" s="10"/>
      <c r="F44" s="14"/>
      <c r="G44" s="10"/>
      <c r="H44" s="13"/>
      <c r="I44" s="12">
        <f>IF(H44="書き損じ","書き損じ",IF(C44="","",IF(F44="","未受領","受領済み")))</f>
      </c>
      <c r="J44" s="15">
        <f>IF(I44="受領済み",IF(D44="",N($B$5),D44),0)</f>
      </c>
    </row>
    <row r="45" ht="20" customHeight="1" spans="1:10" x14ac:dyDescent="0.25">
      <c r="A45" s="12">
        <f>IF($B$2="",ROW()-9,$B$2&amp;"-"&amp;RIGHT("00"&amp;(ROW()-9),3))</f>
      </c>
      <c r="B45" s="13"/>
      <c r="C45" s="10"/>
      <c r="D45" s="11"/>
      <c r="E45" s="10"/>
      <c r="F45" s="14"/>
      <c r="G45" s="10"/>
      <c r="H45" s="13"/>
      <c r="I45" s="12">
        <f>IF(H45="書き損じ","書き損じ",IF(C45="","",IF(F45="","未受領","受領済み")))</f>
      </c>
      <c r="J45" s="15">
        <f>IF(I45="受領済み",IF(D45="",N($B$5),D45),0)</f>
      </c>
    </row>
    <row r="46" ht="20" customHeight="1" spans="1:10" x14ac:dyDescent="0.25">
      <c r="A46" s="12">
        <f>IF($B$2="",ROW()-9,$B$2&amp;"-"&amp;RIGHT("00"&amp;(ROW()-9),3))</f>
      </c>
      <c r="B46" s="13"/>
      <c r="C46" s="10"/>
      <c r="D46" s="11"/>
      <c r="E46" s="10"/>
      <c r="F46" s="14"/>
      <c r="G46" s="10"/>
      <c r="H46" s="13"/>
      <c r="I46" s="12">
        <f>IF(H46="書き損じ","書き損じ",IF(C46="","",IF(F46="","未受領","受領済み")))</f>
      </c>
      <c r="J46" s="15">
        <f>IF(I46="受領済み",IF(D46="",N($B$5),D46),0)</f>
      </c>
    </row>
    <row r="47" ht="20" customHeight="1" spans="1:10" x14ac:dyDescent="0.25">
      <c r="A47" s="12">
        <f>IF($B$2="",ROW()-9,$B$2&amp;"-"&amp;RIGHT("00"&amp;(ROW()-9),3))</f>
      </c>
      <c r="B47" s="13"/>
      <c r="C47" s="10"/>
      <c r="D47" s="11"/>
      <c r="E47" s="10"/>
      <c r="F47" s="14"/>
      <c r="G47" s="10"/>
      <c r="H47" s="13"/>
      <c r="I47" s="12">
        <f>IF(H47="書き損じ","書き損じ",IF(C47="","",IF(F47="","未受領","受領済み")))</f>
      </c>
      <c r="J47" s="15">
        <f>IF(I47="受領済み",IF(D47="",N($B$5),D47),0)</f>
      </c>
    </row>
    <row r="48" ht="20" customHeight="1" spans="1:10" x14ac:dyDescent="0.25">
      <c r="A48" s="12">
        <f>IF($B$2="",ROW()-9,$B$2&amp;"-"&amp;RIGHT("00"&amp;(ROW()-9),3))</f>
      </c>
      <c r="B48" s="13"/>
      <c r="C48" s="10"/>
      <c r="D48" s="11"/>
      <c r="E48" s="10"/>
      <c r="F48" s="14"/>
      <c r="G48" s="10"/>
      <c r="H48" s="13"/>
      <c r="I48" s="12">
        <f>IF(H48="書き損じ","書き損じ",IF(C48="","",IF(F48="","未受領","受領済み")))</f>
      </c>
      <c r="J48" s="15">
        <f>IF(I48="受領済み",IF(D48="",N($B$5),D48),0)</f>
      </c>
    </row>
    <row r="49" ht="20" customHeight="1" spans="1:10" x14ac:dyDescent="0.25">
      <c r="A49" s="12">
        <f>IF($B$2="",ROW()-9,$B$2&amp;"-"&amp;RIGHT("00"&amp;(ROW()-9),3))</f>
      </c>
      <c r="B49" s="13"/>
      <c r="C49" s="10"/>
      <c r="D49" s="11"/>
      <c r="E49" s="10"/>
      <c r="F49" s="14"/>
      <c r="G49" s="10"/>
      <c r="H49" s="13"/>
      <c r="I49" s="12">
        <f>IF(H49="書き損じ","書き損じ",IF(C49="","",IF(F49="","未受領","受領済み")))</f>
      </c>
      <c r="J49" s="15">
        <f>IF(I49="受領済み",IF(D49="",N($B$5),D49),0)</f>
      </c>
    </row>
    <row r="50" ht="20" customHeight="1" spans="1:10" x14ac:dyDescent="0.25">
      <c r="A50" s="12">
        <f>IF($B$2="",ROW()-9,$B$2&amp;"-"&amp;RIGHT("00"&amp;(ROW()-9),3))</f>
      </c>
      <c r="B50" s="13"/>
      <c r="C50" s="10"/>
      <c r="D50" s="11"/>
      <c r="E50" s="10"/>
      <c r="F50" s="14"/>
      <c r="G50" s="10"/>
      <c r="H50" s="13"/>
      <c r="I50" s="12">
        <f>IF(H50="書き損じ","書き損じ",IF(C50="","",IF(F50="","未受領","受領済み")))</f>
      </c>
      <c r="J50" s="15">
        <f>IF(I50="受領済み",IF(D50="",N($B$5),D50),0)</f>
      </c>
    </row>
    <row r="51" ht="20" customHeight="1" spans="1:10" x14ac:dyDescent="0.25">
      <c r="A51" s="12">
        <f>IF($B$2="",ROW()-9,$B$2&amp;"-"&amp;RIGHT("00"&amp;(ROW()-9),3))</f>
      </c>
      <c r="B51" s="13"/>
      <c r="C51" s="10"/>
      <c r="D51" s="11"/>
      <c r="E51" s="10"/>
      <c r="F51" s="14"/>
      <c r="G51" s="10"/>
      <c r="H51" s="13"/>
      <c r="I51" s="12">
        <f>IF(H51="書き損じ","書き損じ",IF(C51="","",IF(F51="","未受領","受領済み")))</f>
      </c>
      <c r="J51" s="15">
        <f>IF(I51="受領済み",IF(D51="",N($B$5),D51),0)</f>
      </c>
    </row>
    <row r="52" ht="20" customHeight="1" spans="1:10" x14ac:dyDescent="0.25">
      <c r="A52" s="12">
        <f>IF($B$2="",ROW()-9,$B$2&amp;"-"&amp;RIGHT("00"&amp;(ROW()-9),3))</f>
      </c>
      <c r="B52" s="13"/>
      <c r="C52" s="10"/>
      <c r="D52" s="11"/>
      <c r="E52" s="10"/>
      <c r="F52" s="14"/>
      <c r="G52" s="10"/>
      <c r="H52" s="13"/>
      <c r="I52" s="12">
        <f>IF(H52="書き損じ","書き損じ",IF(C52="","",IF(F52="","未受領","受領済み")))</f>
      </c>
      <c r="J52" s="15">
        <f>IF(I52="受領済み",IF(D52="",N($B$5),D52),0)</f>
      </c>
    </row>
    <row r="53" ht="20" customHeight="1" spans="1:10" x14ac:dyDescent="0.25">
      <c r="A53" s="12">
        <f>IF($B$2="",ROW()-9,$B$2&amp;"-"&amp;RIGHT("00"&amp;(ROW()-9),3))</f>
      </c>
      <c r="B53" s="13"/>
      <c r="C53" s="10"/>
      <c r="D53" s="11"/>
      <c r="E53" s="10"/>
      <c r="F53" s="14"/>
      <c r="G53" s="10"/>
      <c r="H53" s="13"/>
      <c r="I53" s="12">
        <f>IF(H53="書き損じ","書き損じ",IF(C53="","",IF(F53="","未受領","受領済み")))</f>
      </c>
      <c r="J53" s="15">
        <f>IF(I53="受領済み",IF(D53="",N($B$5),D53),0)</f>
      </c>
    </row>
    <row r="54" ht="20" customHeight="1" spans="1:10" x14ac:dyDescent="0.25">
      <c r="A54" s="12">
        <f>IF($B$2="",ROW()-9,$B$2&amp;"-"&amp;RIGHT("00"&amp;(ROW()-9),3))</f>
      </c>
      <c r="B54" s="13"/>
      <c r="C54" s="10"/>
      <c r="D54" s="11"/>
      <c r="E54" s="10"/>
      <c r="F54" s="14"/>
      <c r="G54" s="10"/>
      <c r="H54" s="13"/>
      <c r="I54" s="12">
        <f>IF(H54="書き損じ","書き損じ",IF(C54="","",IF(F54="","未受領","受領済み")))</f>
      </c>
      <c r="J54" s="15">
        <f>IF(I54="受領済み",IF(D54="",N($B$5),D54),0)</f>
      </c>
    </row>
    <row r="55" ht="20" customHeight="1" spans="1:10" x14ac:dyDescent="0.25">
      <c r="A55" s="12">
        <f>IF($B$2="",ROW()-9,$B$2&amp;"-"&amp;RIGHT("00"&amp;(ROW()-9),3))</f>
      </c>
      <c r="B55" s="13"/>
      <c r="C55" s="10"/>
      <c r="D55" s="11"/>
      <c r="E55" s="10"/>
      <c r="F55" s="14"/>
      <c r="G55" s="10"/>
      <c r="H55" s="13"/>
      <c r="I55" s="12">
        <f>IF(H55="書き損じ","書き損じ",IF(C55="","",IF(F55="","未受領","受領済み")))</f>
      </c>
      <c r="J55" s="15">
        <f>IF(I55="受領済み",IF(D55="",N($B$5),D55),0)</f>
      </c>
    </row>
    <row r="56" ht="20" customHeight="1" spans="1:10" x14ac:dyDescent="0.25">
      <c r="A56" s="12">
        <f>IF($B$2="",ROW()-9,$B$2&amp;"-"&amp;RIGHT("00"&amp;(ROW()-9),3))</f>
      </c>
      <c r="B56" s="13"/>
      <c r="C56" s="10"/>
      <c r="D56" s="11"/>
      <c r="E56" s="10"/>
      <c r="F56" s="14"/>
      <c r="G56" s="10"/>
      <c r="H56" s="13"/>
      <c r="I56" s="12">
        <f>IF(H56="書き損じ","書き損じ",IF(C56="","",IF(F56="","未受領","受領済み")))</f>
      </c>
      <c r="J56" s="15">
        <f>IF(I56="受領済み",IF(D56="",N($B$5),D56),0)</f>
      </c>
    </row>
    <row r="57" ht="20" customHeight="1" spans="1:10" x14ac:dyDescent="0.25">
      <c r="A57" s="12">
        <f>IF($B$2="",ROW()-9,$B$2&amp;"-"&amp;RIGHT("00"&amp;(ROW()-9),3))</f>
      </c>
      <c r="B57" s="13"/>
      <c r="C57" s="10"/>
      <c r="D57" s="11"/>
      <c r="E57" s="10"/>
      <c r="F57" s="14"/>
      <c r="G57" s="10"/>
      <c r="H57" s="13"/>
      <c r="I57" s="12">
        <f>IF(H57="書き損じ","書き損じ",IF(C57="","",IF(F57="","未受領","受領済み")))</f>
      </c>
      <c r="J57" s="15">
        <f>IF(I57="受領済み",IF(D57="",N($B$5),D57),0)</f>
      </c>
    </row>
    <row r="59" ht="22" customHeight="1" spans="1:10" x14ac:dyDescent="0.25">
      <c r="A59" s="20" t="s">
        <v>45</v>
      </c>
      <c r="B59" s="20"/>
      <c r="C59" s="20"/>
      <c r="D59" s="20"/>
      <c r="E59" s="20"/>
      <c r="F59" s="20"/>
      <c r="G59" s="20"/>
      <c r="H59" s="20"/>
      <c r="I59" s="20"/>
      <c r="J59" s="20"/>
    </row>
  </sheetData>
  <sheetProtection sheet="1" formatColumns="0" formatRows="0"/>
  <mergeCells count="7">
    <mergeCell ref="A1:J1"/>
    <mergeCell ref="C2:E2"/>
    <mergeCell ref="B3:D3"/>
    <mergeCell ref="B4:D4"/>
    <mergeCell ref="B5:C5"/>
    <mergeCell ref="B6:E6"/>
    <mergeCell ref="A59:J59"/>
  </mergeCells>
  <conditionalFormatting sqref="I10:I57">
    <cfRule type="cellIs" dxfId="0" priority="1" operator="equal">
      <formula>"未受領"</formula>
    </cfRule>
    <cfRule type="cellIs" dxfId="1" priority="2" operator="equal">
      <formula>"書き損じ"</formula>
    </cfRule>
  </conditionalFormatting>
  <dataValidations count="6">
    <dataValidation type="whole" allowBlank="1" showErrorMessage="1" errorTitle="年度の始まる年" error="2000〜2100 の整数を入れてください" sqref="B2">
      <formula1>2000</formula1>
      <formula2>2100</formula2>
    </dataValidation>
    <dataValidation type="whole" operator="greaterThanOrEqual" allowBlank="1" showErrorMessage="1" errorTitle="1世帯の年の会費" error="0 以上の整数を入れてください" sqref="B5">
      <formula1>0</formula1>
    </dataValidation>
    <dataValidation type="whole" operator="greaterThanOrEqual" allowBlank="1" showErrorMessage="1" errorTitle="金額" error="0 以上の整数を入れてください" sqref="D10:D57">
      <formula1>0</formula1>
    </dataValidation>
    <dataValidation type="date" operator="greaterThan" allowBlank="1" showErrorMessage="1" errorTitle="受け取った日" error="日付を 2026/5/10 の形で入れてください" sqref="F10:F57">
      <formula1>36526</formula1>
    </dataValidation>
    <dataValidation type="list" allowBlank="1" showErrorMessage="1" errorTitle="書き損じ" error="「書き損じ」から選んでください" sqref="H10:H57">
      <formula1>"書き損じ"</formula1>
    </dataValidation>
    <dataValidation type="whole" operator="greaterThanOrEqual" allowBlank="1" showErrorMessage="1" errorTitle="出納帳に書いた会費収入" error="0 以上の整数を入れてください" sqref="M15">
      <formula1>0</formula1>
    </dataValidation>
  </dataValidations>
  <pageMargins left="0.5" right="0.5" top="0.6" bottom="0.6" header="0.2" footer="0.2"/>
  <pageSetup paperSize="9" orientation="landscape"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CA3AF"/>
    <pageSetUpPr fitToPage="1"/>
  </sheetPr>
  <dimension ref="A1:L528"/>
  <sheetViews>
    <sheetView workbookViewId="0" showGridLines="0"/>
  </sheetViews>
  <sheetFormatPr defaultRowHeight="15" outlineLevelRow="0" outlineLevelCol="0" x14ac:dyDescent="55"/>
  <cols>
    <col min="1" max="4" width="10" customWidth="1"/>
    <col min="5" max="5" width="3" customWidth="1"/>
  </cols>
  <sheetData>
    <row r="1" ht="28" customHeight="1" spans="1:12" x14ac:dyDescent="0.25">
      <c r="A1" s="21" t="s">
        <v>46</v>
      </c>
      <c r="C1" s="22" t="s">
        <v>47</v>
      </c>
      <c r="D1" s="23">
        <f>INDEX('会費の受け取り'!$A$10:$A$57,1)&amp;""</f>
      </c>
      <c r="E1" s="24"/>
      <c r="F1" s="25">
        <f>IF(INDEX('会費の受け取り'!$H$10:$H$57,1)&amp;""="書き損じ","書き損じ","領　収　書")</f>
      </c>
      <c r="G1" s="25"/>
      <c r="H1" s="25"/>
      <c r="I1" s="25"/>
      <c r="J1" s="25"/>
      <c r="K1" s="22" t="s">
        <v>47</v>
      </c>
      <c r="L1" s="23">
        <f>INDEX('会費の受け取り'!$A$10:$A$57,1)&amp;""</f>
      </c>
    </row>
    <row r="2" ht="22" customHeight="1" spans="1:12" x14ac:dyDescent="0.25">
      <c r="A2" s="26" t="s">
        <v>48</v>
      </c>
      <c r="B2" s="27">
        <f>IF(INDEX('会費の受け取り'!$F$10:$F$57,1)="","　　年　　月　　日",INDEX('会費の受け取り'!$F$10:$F$57,1))</f>
      </c>
      <c r="C2" s="27"/>
      <c r="D2" s="27"/>
      <c r="E2" s="24"/>
      <c r="J2" s="28">
        <f>IF(INDEX('会費の受け取り'!$F$10:$F$57,1)="","　　年　　月　　日",INDEX('会費の受け取り'!$F$10:$F$57,1))</f>
      </c>
      <c r="K2" s="28"/>
      <c r="L2" s="28"/>
    </row>
    <row r="3" ht="26" customHeight="1" spans="1:11" x14ac:dyDescent="0.25">
      <c r="A3" s="26" t="s">
        <v>29</v>
      </c>
      <c r="B3" s="29">
        <f>INDEX('会費の受け取り'!$C$10:$C$57,1)&amp;""</f>
      </c>
      <c r="C3" s="29"/>
      <c r="D3" s="29"/>
      <c r="E3" s="24"/>
      <c r="F3" s="30">
        <f>INDEX('会費の受け取り'!$C$10:$C$57,1)&amp;""</f>
      </c>
      <c r="G3" s="30"/>
      <c r="H3" s="30"/>
      <c r="I3" s="30"/>
      <c r="J3" s="30"/>
      <c r="K3" s="31" t="s">
        <v>49</v>
      </c>
    </row>
    <row r="4" ht="32" customHeight="1" spans="1:11" x14ac:dyDescent="0.25">
      <c r="A4" s="26" t="s">
        <v>50</v>
      </c>
      <c r="B4" s="32">
        <f>IF(INDEX('会費の受け取り'!$C$10:$C$57,1)="","",IF(INDEX('会費の受け取り'!$D$10:$D$57,1)="",N('会費の受け取り'!$B$5),INDEX('会費の受け取り'!$D$10:$D$57,1)))</f>
      </c>
      <c r="C4" s="32"/>
      <c r="D4" s="32"/>
      <c r="E4" s="24"/>
      <c r="F4" s="23" t="s">
        <v>50</v>
      </c>
      <c r="G4" s="33">
        <f>IF(INDEX('会費の受け取り'!$C$10:$C$57,1)="","",IF(INDEX('会費の受け取り'!$D$10:$D$57,1)="",N('会費の受け取り'!$B$5),INDEX('会費の受け取り'!$D$10:$D$57,1)))</f>
      </c>
      <c r="H4" s="33"/>
      <c r="I4" s="33"/>
      <c r="J4" s="33"/>
      <c r="K4" s="33"/>
    </row>
    <row r="5" ht="38" customHeight="1" spans="1:12" x14ac:dyDescent="0.25">
      <c r="A5" s="26" t="s">
        <v>51</v>
      </c>
      <c r="B5" s="34">
        <f>IF(INDEX('会費の受け取り'!$C$10:$C$57,1)="","",IF(INDEX('会費の受け取り'!$E$10:$E$57,1)&amp;""&lt;&gt;"",INDEX('会費の受け取り'!$E$10:$E$57,1)&amp;"",'会費の受け取り'!$B$6&amp;""))</f>
      </c>
      <c r="C5" s="34"/>
      <c r="D5" s="34"/>
      <c r="E5" s="24"/>
      <c r="F5" s="35">
        <f>"但し "&amp;IF(INDEX('会費の受け取り'!$C$10:$C$57,1)="","",IF(INDEX('会費の受け取り'!$E$10:$E$57,1)&amp;""&lt;&gt;"",INDEX('会費の受け取り'!$E$10:$E$57,1)&amp;"",'会費の受け取り'!$B$6&amp;""))</f>
      </c>
      <c r="G5" s="35"/>
      <c r="H5" s="35"/>
      <c r="I5" s="35"/>
      <c r="J5" s="35"/>
      <c r="K5" s="35"/>
      <c r="L5" s="35"/>
    </row>
    <row r="6" ht="22" customHeight="1" spans="1:12" x14ac:dyDescent="0.25">
      <c r="A6" s="26" t="s">
        <v>33</v>
      </c>
      <c r="B6" s="29">
        <f>IF(INDEX('会費の受け取り'!$G$10:$G$57,1)&amp;""&lt;&gt;"",INDEX('会費の受け取り'!$G$10:$G$57,1)&amp;"",'会費の受け取り'!$B$4&amp;"")</f>
      </c>
      <c r="C6" s="29"/>
      <c r="D6" s="29"/>
      <c r="E6" s="24"/>
      <c r="F6" s="36" t="s">
        <v>52</v>
      </c>
      <c r="G6" s="36"/>
      <c r="H6" s="36"/>
      <c r="I6" s="36"/>
      <c r="J6" s="36"/>
      <c r="K6" s="36"/>
      <c r="L6" s="36"/>
    </row>
    <row r="7" ht="20" customHeight="1" spans="1:5" x14ac:dyDescent="0.25">
      <c r="A7" s="37">
        <f>IF(INDEX('会費の受け取り'!$H$10:$H$57,1)&amp;""="書き損じ","書き損じ","")</f>
      </c>
      <c r="B7" s="37"/>
      <c r="C7" s="37"/>
      <c r="D7" s="37"/>
      <c r="E7" s="24"/>
    </row>
    <row r="8" ht="22" customHeight="1" spans="5:12" x14ac:dyDescent="0.25">
      <c r="E8" s="24"/>
      <c r="H8" s="38">
        <f>IF('会費の受け取り'!$B$3="","",'会費の受け取り'!$B$3)</f>
      </c>
      <c r="I8" s="38"/>
      <c r="J8" s="38"/>
      <c r="K8" s="38"/>
      <c r="L8" s="38"/>
    </row>
    <row r="9" ht="28" customHeight="1" spans="5:12" x14ac:dyDescent="0.25">
      <c r="E9" s="24"/>
      <c r="H9" s="39">
        <f>IF(INDEX('会費の受け取り'!$G$10:$G$57,1)&amp;""&lt;&gt;"",INDEX('会費の受け取り'!$G$10:$G$57,1)&amp;"",'会費の受け取り'!$B$4&amp;"")</f>
      </c>
      <c r="I9" s="39"/>
      <c r="J9" s="39"/>
      <c r="K9" s="39"/>
      <c r="L9" s="40" t="s">
        <v>53</v>
      </c>
    </row>
    <row r="10" ht="10" customHeight="1" spans="5:5" x14ac:dyDescent="0.25">
      <c r="E10" s="24"/>
    </row>
    <row r="11" ht="12" customHeight="1" spans="1:12" x14ac:dyDescent="0.25">
      <c r="A11" s="41"/>
      <c r="B11" s="41"/>
      <c r="C11" s="41"/>
      <c r="D11" s="41"/>
      <c r="E11" s="42"/>
      <c r="F11" s="41"/>
      <c r="G11" s="41"/>
      <c r="H11" s="41"/>
      <c r="I11" s="41"/>
      <c r="J11" s="41"/>
      <c r="K11" s="41"/>
      <c r="L11" s="41"/>
    </row>
    <row r="12" ht="28" customHeight="1" spans="1:12" x14ac:dyDescent="0.25">
      <c r="A12" s="21" t="s">
        <v>46</v>
      </c>
      <c r="C12" s="22" t="s">
        <v>47</v>
      </c>
      <c r="D12" s="23">
        <f>INDEX('会費の受け取り'!$A$10:$A$57,2)&amp;""</f>
      </c>
      <c r="E12" s="24"/>
      <c r="F12" s="25">
        <f>IF(INDEX('会費の受け取り'!$H$10:$H$57,2)&amp;""="書き損じ","書き損じ","領　収　書")</f>
      </c>
      <c r="G12" s="25"/>
      <c r="H12" s="25"/>
      <c r="I12" s="25"/>
      <c r="J12" s="25"/>
      <c r="K12" s="22" t="s">
        <v>47</v>
      </c>
      <c r="L12" s="23">
        <f>INDEX('会費の受け取り'!$A$10:$A$57,2)&amp;""</f>
      </c>
    </row>
    <row r="13" ht="22" customHeight="1" spans="1:12" x14ac:dyDescent="0.25">
      <c r="A13" s="26" t="s">
        <v>48</v>
      </c>
      <c r="B13" s="27">
        <f>IF(INDEX('会費の受け取り'!$F$10:$F$57,2)="","　　年　　月　　日",INDEX('会費の受け取り'!$F$10:$F$57,2))</f>
      </c>
      <c r="C13" s="27"/>
      <c r="D13" s="27"/>
      <c r="E13" s="24"/>
      <c r="J13" s="28">
        <f>IF(INDEX('会費の受け取り'!$F$10:$F$57,2)="","　　年　　月　　日",INDEX('会費の受け取り'!$F$10:$F$57,2))</f>
      </c>
      <c r="K13" s="28"/>
      <c r="L13" s="28"/>
    </row>
    <row r="14" ht="26" customHeight="1" spans="1:11" x14ac:dyDescent="0.25">
      <c r="A14" s="26" t="s">
        <v>29</v>
      </c>
      <c r="B14" s="29">
        <f>INDEX('会費の受け取り'!$C$10:$C$57,2)&amp;""</f>
      </c>
      <c r="C14" s="29"/>
      <c r="D14" s="29"/>
      <c r="E14" s="24"/>
      <c r="F14" s="30">
        <f>INDEX('会費の受け取り'!$C$10:$C$57,2)&amp;""</f>
      </c>
      <c r="G14" s="30"/>
      <c r="H14" s="30"/>
      <c r="I14" s="30"/>
      <c r="J14" s="30"/>
      <c r="K14" s="31" t="s">
        <v>49</v>
      </c>
    </row>
    <row r="15" ht="32" customHeight="1" spans="1:11" x14ac:dyDescent="0.25">
      <c r="A15" s="26" t="s">
        <v>50</v>
      </c>
      <c r="B15" s="32">
        <f>IF(INDEX('会費の受け取り'!$C$10:$C$57,2)="","",IF(INDEX('会費の受け取り'!$D$10:$D$57,2)="",N('会費の受け取り'!$B$5),INDEX('会費の受け取り'!$D$10:$D$57,2)))</f>
      </c>
      <c r="C15" s="32"/>
      <c r="D15" s="32"/>
      <c r="E15" s="24"/>
      <c r="F15" s="23" t="s">
        <v>50</v>
      </c>
      <c r="G15" s="33">
        <f>IF(INDEX('会費の受け取り'!$C$10:$C$57,2)="","",IF(INDEX('会費の受け取り'!$D$10:$D$57,2)="",N('会費の受け取り'!$B$5),INDEX('会費の受け取り'!$D$10:$D$57,2)))</f>
      </c>
      <c r="H15" s="33"/>
      <c r="I15" s="33"/>
      <c r="J15" s="33"/>
      <c r="K15" s="33"/>
    </row>
    <row r="16" ht="38" customHeight="1" spans="1:12" x14ac:dyDescent="0.25">
      <c r="A16" s="26" t="s">
        <v>51</v>
      </c>
      <c r="B16" s="34">
        <f>IF(INDEX('会費の受け取り'!$C$10:$C$57,2)="","",IF(INDEX('会費の受け取り'!$E$10:$E$57,2)&amp;""&lt;&gt;"",INDEX('会費の受け取り'!$E$10:$E$57,2)&amp;"",'会費の受け取り'!$B$6&amp;""))</f>
      </c>
      <c r="C16" s="34"/>
      <c r="D16" s="34"/>
      <c r="E16" s="24"/>
      <c r="F16" s="35">
        <f>"但し "&amp;IF(INDEX('会費の受け取り'!$C$10:$C$57,2)="","",IF(INDEX('会費の受け取り'!$E$10:$E$57,2)&amp;""&lt;&gt;"",INDEX('会費の受け取り'!$E$10:$E$57,2)&amp;"",'会費の受け取り'!$B$6&amp;""))</f>
      </c>
      <c r="G16" s="35"/>
      <c r="H16" s="35"/>
      <c r="I16" s="35"/>
      <c r="J16" s="35"/>
      <c r="K16" s="35"/>
      <c r="L16" s="35"/>
    </row>
    <row r="17" ht="22" customHeight="1" spans="1:12" x14ac:dyDescent="0.25">
      <c r="A17" s="26" t="s">
        <v>33</v>
      </c>
      <c r="B17" s="29">
        <f>IF(INDEX('会費の受け取り'!$G$10:$G$57,2)&amp;""&lt;&gt;"",INDEX('会費の受け取り'!$G$10:$G$57,2)&amp;"",'会費の受け取り'!$B$4&amp;"")</f>
      </c>
      <c r="C17" s="29"/>
      <c r="D17" s="29"/>
      <c r="E17" s="24"/>
      <c r="F17" s="36" t="s">
        <v>52</v>
      </c>
      <c r="G17" s="36"/>
      <c r="H17" s="36"/>
      <c r="I17" s="36"/>
      <c r="J17" s="36"/>
      <c r="K17" s="36"/>
      <c r="L17" s="36"/>
    </row>
    <row r="18" ht="20" customHeight="1" spans="1:5" x14ac:dyDescent="0.25">
      <c r="A18" s="37">
        <f>IF(INDEX('会費の受け取り'!$H$10:$H$57,2)&amp;""="書き損じ","書き損じ","")</f>
      </c>
      <c r="B18" s="37"/>
      <c r="C18" s="37"/>
      <c r="D18" s="37"/>
      <c r="E18" s="24"/>
    </row>
    <row r="19" ht="22" customHeight="1" spans="5:12" x14ac:dyDescent="0.25">
      <c r="E19" s="24"/>
      <c r="H19" s="38">
        <f>IF('会費の受け取り'!$B$3="","",'会費の受け取り'!$B$3)</f>
      </c>
      <c r="I19" s="38"/>
      <c r="J19" s="38"/>
      <c r="K19" s="38"/>
      <c r="L19" s="38"/>
    </row>
    <row r="20" ht="28" customHeight="1" spans="5:12" x14ac:dyDescent="0.25">
      <c r="E20" s="24"/>
      <c r="H20" s="39">
        <f>IF(INDEX('会費の受け取り'!$G$10:$G$57,2)&amp;""&lt;&gt;"",INDEX('会費の受け取り'!$G$10:$G$57,2)&amp;"",'会費の受け取り'!$B$4&amp;"")</f>
      </c>
      <c r="I20" s="39"/>
      <c r="J20" s="39"/>
      <c r="K20" s="39"/>
      <c r="L20" s="40" t="s">
        <v>53</v>
      </c>
    </row>
    <row r="21" ht="10" customHeight="1" spans="5:5" x14ac:dyDescent="0.25">
      <c r="E21" s="24"/>
    </row>
    <row r="22" ht="12" customHeight="1" spans="1:12" x14ac:dyDescent="0.25">
      <c r="A22" s="41"/>
      <c r="B22" s="41"/>
      <c r="C22" s="41"/>
      <c r="D22" s="41"/>
      <c r="E22" s="42"/>
      <c r="F22" s="41"/>
      <c r="G22" s="41"/>
      <c r="H22" s="41"/>
      <c r="I22" s="41"/>
      <c r="J22" s="41"/>
      <c r="K22" s="41"/>
      <c r="L22" s="41"/>
    </row>
    <row r="23" ht="28" customHeight="1" spans="1:12" x14ac:dyDescent="0.25">
      <c r="A23" s="21" t="s">
        <v>46</v>
      </c>
      <c r="C23" s="22" t="s">
        <v>47</v>
      </c>
      <c r="D23" s="23">
        <f>INDEX('会費の受け取り'!$A$10:$A$57,3)&amp;""</f>
      </c>
      <c r="E23" s="24"/>
      <c r="F23" s="25">
        <f>IF(INDEX('会費の受け取り'!$H$10:$H$57,3)&amp;""="書き損じ","書き損じ","領　収　書")</f>
      </c>
      <c r="G23" s="25"/>
      <c r="H23" s="25"/>
      <c r="I23" s="25"/>
      <c r="J23" s="25"/>
      <c r="K23" s="22" t="s">
        <v>47</v>
      </c>
      <c r="L23" s="23">
        <f>INDEX('会費の受け取り'!$A$10:$A$57,3)&amp;""</f>
      </c>
    </row>
    <row r="24" ht="22" customHeight="1" spans="1:12" x14ac:dyDescent="0.25">
      <c r="A24" s="26" t="s">
        <v>48</v>
      </c>
      <c r="B24" s="27">
        <f>IF(INDEX('会費の受け取り'!$F$10:$F$57,3)="","　　年　　月　　日",INDEX('会費の受け取り'!$F$10:$F$57,3))</f>
      </c>
      <c r="C24" s="27"/>
      <c r="D24" s="27"/>
      <c r="E24" s="24"/>
      <c r="J24" s="28">
        <f>IF(INDEX('会費の受け取り'!$F$10:$F$57,3)="","　　年　　月　　日",INDEX('会費の受け取り'!$F$10:$F$57,3))</f>
      </c>
      <c r="K24" s="28"/>
      <c r="L24" s="28"/>
    </row>
    <row r="25" ht="26" customHeight="1" spans="1:11" x14ac:dyDescent="0.25">
      <c r="A25" s="26" t="s">
        <v>29</v>
      </c>
      <c r="B25" s="29">
        <f>INDEX('会費の受け取り'!$C$10:$C$57,3)&amp;""</f>
      </c>
      <c r="C25" s="29"/>
      <c r="D25" s="29"/>
      <c r="E25" s="24"/>
      <c r="F25" s="30">
        <f>INDEX('会費の受け取り'!$C$10:$C$57,3)&amp;""</f>
      </c>
      <c r="G25" s="30"/>
      <c r="H25" s="30"/>
      <c r="I25" s="30"/>
      <c r="J25" s="30"/>
      <c r="K25" s="31" t="s">
        <v>49</v>
      </c>
    </row>
    <row r="26" ht="32" customHeight="1" spans="1:11" x14ac:dyDescent="0.25">
      <c r="A26" s="26" t="s">
        <v>50</v>
      </c>
      <c r="B26" s="32">
        <f>IF(INDEX('会費の受け取り'!$C$10:$C$57,3)="","",IF(INDEX('会費の受け取り'!$D$10:$D$57,3)="",N('会費の受け取り'!$B$5),INDEX('会費の受け取り'!$D$10:$D$57,3)))</f>
      </c>
      <c r="C26" s="32"/>
      <c r="D26" s="32"/>
      <c r="E26" s="24"/>
      <c r="F26" s="23" t="s">
        <v>50</v>
      </c>
      <c r="G26" s="33">
        <f>IF(INDEX('会費の受け取り'!$C$10:$C$57,3)="","",IF(INDEX('会費の受け取り'!$D$10:$D$57,3)="",N('会費の受け取り'!$B$5),INDEX('会費の受け取り'!$D$10:$D$57,3)))</f>
      </c>
      <c r="H26" s="33"/>
      <c r="I26" s="33"/>
      <c r="J26" s="33"/>
      <c r="K26" s="33"/>
    </row>
    <row r="27" ht="38" customHeight="1" spans="1:12" x14ac:dyDescent="0.25">
      <c r="A27" s="26" t="s">
        <v>51</v>
      </c>
      <c r="B27" s="34">
        <f>IF(INDEX('会費の受け取り'!$C$10:$C$57,3)="","",IF(INDEX('会費の受け取り'!$E$10:$E$57,3)&amp;""&lt;&gt;"",INDEX('会費の受け取り'!$E$10:$E$57,3)&amp;"",'会費の受け取り'!$B$6&amp;""))</f>
      </c>
      <c r="C27" s="34"/>
      <c r="D27" s="34"/>
      <c r="E27" s="24"/>
      <c r="F27" s="35">
        <f>"但し "&amp;IF(INDEX('会費の受け取り'!$C$10:$C$57,3)="","",IF(INDEX('会費の受け取り'!$E$10:$E$57,3)&amp;""&lt;&gt;"",INDEX('会費の受け取り'!$E$10:$E$57,3)&amp;"",'会費の受け取り'!$B$6&amp;""))</f>
      </c>
      <c r="G27" s="35"/>
      <c r="H27" s="35"/>
      <c r="I27" s="35"/>
      <c r="J27" s="35"/>
      <c r="K27" s="35"/>
      <c r="L27" s="35"/>
    </row>
    <row r="28" ht="22" customHeight="1" spans="1:12" x14ac:dyDescent="0.25">
      <c r="A28" s="26" t="s">
        <v>33</v>
      </c>
      <c r="B28" s="29">
        <f>IF(INDEX('会費の受け取り'!$G$10:$G$57,3)&amp;""&lt;&gt;"",INDEX('会費の受け取り'!$G$10:$G$57,3)&amp;"",'会費の受け取り'!$B$4&amp;"")</f>
      </c>
      <c r="C28" s="29"/>
      <c r="D28" s="29"/>
      <c r="E28" s="24"/>
      <c r="F28" s="36" t="s">
        <v>52</v>
      </c>
      <c r="G28" s="36"/>
      <c r="H28" s="36"/>
      <c r="I28" s="36"/>
      <c r="J28" s="36"/>
      <c r="K28" s="36"/>
      <c r="L28" s="36"/>
    </row>
    <row r="29" ht="20" customHeight="1" spans="1:5" x14ac:dyDescent="0.25">
      <c r="A29" s="37">
        <f>IF(INDEX('会費の受け取り'!$H$10:$H$57,3)&amp;""="書き損じ","書き損じ","")</f>
      </c>
      <c r="B29" s="37"/>
      <c r="C29" s="37"/>
      <c r="D29" s="37"/>
      <c r="E29" s="24"/>
    </row>
    <row r="30" ht="22" customHeight="1" spans="5:12" x14ac:dyDescent="0.25">
      <c r="E30" s="24"/>
      <c r="H30" s="38">
        <f>IF('会費の受け取り'!$B$3="","",'会費の受け取り'!$B$3)</f>
      </c>
      <c r="I30" s="38"/>
      <c r="J30" s="38"/>
      <c r="K30" s="38"/>
      <c r="L30" s="38"/>
    </row>
    <row r="31" ht="28" customHeight="1" spans="5:12" x14ac:dyDescent="0.25">
      <c r="E31" s="24"/>
      <c r="H31" s="39">
        <f>IF(INDEX('会費の受け取り'!$G$10:$G$57,3)&amp;""&lt;&gt;"",INDEX('会費の受け取り'!$G$10:$G$57,3)&amp;"",'会費の受け取り'!$B$4&amp;"")</f>
      </c>
      <c r="I31" s="39"/>
      <c r="J31" s="39"/>
      <c r="K31" s="39"/>
      <c r="L31" s="40" t="s">
        <v>53</v>
      </c>
    </row>
    <row r="32" ht="10" customHeight="1" spans="5:5" x14ac:dyDescent="0.25">
      <c r="E32" s="24"/>
    </row>
    <row r="33" ht="12" customHeight="1" spans="1:12" x14ac:dyDescent="0.25">
      <c r="A33" s="41"/>
      <c r="B33" s="41"/>
      <c r="C33" s="41"/>
      <c r="D33" s="41"/>
      <c r="E33" s="42"/>
      <c r="F33" s="41"/>
      <c r="G33" s="41"/>
      <c r="H33" s="41"/>
      <c r="I33" s="41"/>
      <c r="J33" s="41"/>
      <c r="K33" s="41"/>
      <c r="L33" s="41"/>
    </row>
    <row r="34" ht="28" customHeight="1" spans="1:12" x14ac:dyDescent="0.25">
      <c r="A34" s="21" t="s">
        <v>46</v>
      </c>
      <c r="C34" s="22" t="s">
        <v>47</v>
      </c>
      <c r="D34" s="23">
        <f>INDEX('会費の受け取り'!$A$10:$A$57,4)&amp;""</f>
      </c>
      <c r="E34" s="24"/>
      <c r="F34" s="25">
        <f>IF(INDEX('会費の受け取り'!$H$10:$H$57,4)&amp;""="書き損じ","書き損じ","領　収　書")</f>
      </c>
      <c r="G34" s="25"/>
      <c r="H34" s="25"/>
      <c r="I34" s="25"/>
      <c r="J34" s="25"/>
      <c r="K34" s="22" t="s">
        <v>47</v>
      </c>
      <c r="L34" s="23">
        <f>INDEX('会費の受け取り'!$A$10:$A$57,4)&amp;""</f>
      </c>
    </row>
    <row r="35" ht="22" customHeight="1" spans="1:12" x14ac:dyDescent="0.25">
      <c r="A35" s="26" t="s">
        <v>48</v>
      </c>
      <c r="B35" s="27">
        <f>IF(INDEX('会費の受け取り'!$F$10:$F$57,4)="","　　年　　月　　日",INDEX('会費の受け取り'!$F$10:$F$57,4))</f>
      </c>
      <c r="C35" s="27"/>
      <c r="D35" s="27"/>
      <c r="E35" s="24"/>
      <c r="J35" s="28">
        <f>IF(INDEX('会費の受け取り'!$F$10:$F$57,4)="","　　年　　月　　日",INDEX('会費の受け取り'!$F$10:$F$57,4))</f>
      </c>
      <c r="K35" s="28"/>
      <c r="L35" s="28"/>
    </row>
    <row r="36" ht="26" customHeight="1" spans="1:11" x14ac:dyDescent="0.25">
      <c r="A36" s="26" t="s">
        <v>29</v>
      </c>
      <c r="B36" s="29">
        <f>INDEX('会費の受け取り'!$C$10:$C$57,4)&amp;""</f>
      </c>
      <c r="C36" s="29"/>
      <c r="D36" s="29"/>
      <c r="E36" s="24"/>
      <c r="F36" s="30">
        <f>INDEX('会費の受け取り'!$C$10:$C$57,4)&amp;""</f>
      </c>
      <c r="G36" s="30"/>
      <c r="H36" s="30"/>
      <c r="I36" s="30"/>
      <c r="J36" s="30"/>
      <c r="K36" s="31" t="s">
        <v>49</v>
      </c>
    </row>
    <row r="37" ht="32" customHeight="1" spans="1:11" x14ac:dyDescent="0.25">
      <c r="A37" s="26" t="s">
        <v>50</v>
      </c>
      <c r="B37" s="32">
        <f>IF(INDEX('会費の受け取り'!$C$10:$C$57,4)="","",IF(INDEX('会費の受け取り'!$D$10:$D$57,4)="",N('会費の受け取り'!$B$5),INDEX('会費の受け取り'!$D$10:$D$57,4)))</f>
      </c>
      <c r="C37" s="32"/>
      <c r="D37" s="32"/>
      <c r="E37" s="24"/>
      <c r="F37" s="23" t="s">
        <v>50</v>
      </c>
      <c r="G37" s="33">
        <f>IF(INDEX('会費の受け取り'!$C$10:$C$57,4)="","",IF(INDEX('会費の受け取り'!$D$10:$D$57,4)="",N('会費の受け取り'!$B$5),INDEX('会費の受け取り'!$D$10:$D$57,4)))</f>
      </c>
      <c r="H37" s="33"/>
      <c r="I37" s="33"/>
      <c r="J37" s="33"/>
      <c r="K37" s="33"/>
    </row>
    <row r="38" ht="38" customHeight="1" spans="1:12" x14ac:dyDescent="0.25">
      <c r="A38" s="26" t="s">
        <v>51</v>
      </c>
      <c r="B38" s="34">
        <f>IF(INDEX('会費の受け取り'!$C$10:$C$57,4)="","",IF(INDEX('会費の受け取り'!$E$10:$E$57,4)&amp;""&lt;&gt;"",INDEX('会費の受け取り'!$E$10:$E$57,4)&amp;"",'会費の受け取り'!$B$6&amp;""))</f>
      </c>
      <c r="C38" s="34"/>
      <c r="D38" s="34"/>
      <c r="E38" s="24"/>
      <c r="F38" s="35">
        <f>"但し "&amp;IF(INDEX('会費の受け取り'!$C$10:$C$57,4)="","",IF(INDEX('会費の受け取り'!$E$10:$E$57,4)&amp;""&lt;&gt;"",INDEX('会費の受け取り'!$E$10:$E$57,4)&amp;"",'会費の受け取り'!$B$6&amp;""))</f>
      </c>
      <c r="G38" s="35"/>
      <c r="H38" s="35"/>
      <c r="I38" s="35"/>
      <c r="J38" s="35"/>
      <c r="K38" s="35"/>
      <c r="L38" s="35"/>
    </row>
    <row r="39" ht="22" customHeight="1" spans="1:12" x14ac:dyDescent="0.25">
      <c r="A39" s="26" t="s">
        <v>33</v>
      </c>
      <c r="B39" s="29">
        <f>IF(INDEX('会費の受け取り'!$G$10:$G$57,4)&amp;""&lt;&gt;"",INDEX('会費の受け取り'!$G$10:$G$57,4)&amp;"",'会費の受け取り'!$B$4&amp;"")</f>
      </c>
      <c r="C39" s="29"/>
      <c r="D39" s="29"/>
      <c r="E39" s="24"/>
      <c r="F39" s="36" t="s">
        <v>52</v>
      </c>
      <c r="G39" s="36"/>
      <c r="H39" s="36"/>
      <c r="I39" s="36"/>
      <c r="J39" s="36"/>
      <c r="K39" s="36"/>
      <c r="L39" s="36"/>
    </row>
    <row r="40" ht="20" customHeight="1" spans="1:5" x14ac:dyDescent="0.25">
      <c r="A40" s="37">
        <f>IF(INDEX('会費の受け取り'!$H$10:$H$57,4)&amp;""="書き損じ","書き損じ","")</f>
      </c>
      <c r="B40" s="37"/>
      <c r="C40" s="37"/>
      <c r="D40" s="37"/>
      <c r="E40" s="24"/>
    </row>
    <row r="41" ht="22" customHeight="1" spans="5:12" x14ac:dyDescent="0.25">
      <c r="E41" s="24"/>
      <c r="H41" s="38">
        <f>IF('会費の受け取り'!$B$3="","",'会費の受け取り'!$B$3)</f>
      </c>
      <c r="I41" s="38"/>
      <c r="J41" s="38"/>
      <c r="K41" s="38"/>
      <c r="L41" s="38"/>
    </row>
    <row r="42" ht="28" customHeight="1" spans="5:12" x14ac:dyDescent="0.25">
      <c r="E42" s="24"/>
      <c r="H42" s="39">
        <f>IF(INDEX('会費の受け取り'!$G$10:$G$57,4)&amp;""&lt;&gt;"",INDEX('会費の受け取り'!$G$10:$G$57,4)&amp;"",'会費の受け取り'!$B$4&amp;"")</f>
      </c>
      <c r="I42" s="39"/>
      <c r="J42" s="39"/>
      <c r="K42" s="39"/>
      <c r="L42" s="40" t="s">
        <v>53</v>
      </c>
    </row>
    <row r="43" ht="10" customHeight="1" spans="5:5" x14ac:dyDescent="0.25">
      <c r="E43" s="24"/>
    </row>
    <row r="44" ht="12" customHeight="1" spans="1:12" x14ac:dyDescent="0.25">
      <c r="A44" s="41"/>
      <c r="B44" s="41"/>
      <c r="C44" s="41"/>
      <c r="D44" s="41"/>
      <c r="E44" s="42"/>
      <c r="F44" s="41"/>
      <c r="G44" s="41"/>
      <c r="H44" s="41"/>
      <c r="I44" s="41"/>
      <c r="J44" s="41"/>
      <c r="K44" s="41"/>
      <c r="L44" s="41"/>
    </row>
    <row r="45" ht="28" customHeight="1" spans="1:12" x14ac:dyDescent="0.25">
      <c r="A45" s="21" t="s">
        <v>46</v>
      </c>
      <c r="C45" s="22" t="s">
        <v>47</v>
      </c>
      <c r="D45" s="23">
        <f>INDEX('会費の受け取り'!$A$10:$A$57,5)&amp;""</f>
      </c>
      <c r="E45" s="24"/>
      <c r="F45" s="25">
        <f>IF(INDEX('会費の受け取り'!$H$10:$H$57,5)&amp;""="書き損じ","書き損じ","領　収　書")</f>
      </c>
      <c r="G45" s="25"/>
      <c r="H45" s="25"/>
      <c r="I45" s="25"/>
      <c r="J45" s="25"/>
      <c r="K45" s="22" t="s">
        <v>47</v>
      </c>
      <c r="L45" s="23">
        <f>INDEX('会費の受け取り'!$A$10:$A$57,5)&amp;""</f>
      </c>
    </row>
    <row r="46" ht="22" customHeight="1" spans="1:12" x14ac:dyDescent="0.25">
      <c r="A46" s="26" t="s">
        <v>48</v>
      </c>
      <c r="B46" s="27">
        <f>IF(INDEX('会費の受け取り'!$F$10:$F$57,5)="","　　年　　月　　日",INDEX('会費の受け取り'!$F$10:$F$57,5))</f>
      </c>
      <c r="C46" s="27"/>
      <c r="D46" s="27"/>
      <c r="E46" s="24"/>
      <c r="J46" s="28">
        <f>IF(INDEX('会費の受け取り'!$F$10:$F$57,5)="","　　年　　月　　日",INDEX('会費の受け取り'!$F$10:$F$57,5))</f>
      </c>
      <c r="K46" s="28"/>
      <c r="L46" s="28"/>
    </row>
    <row r="47" ht="26" customHeight="1" spans="1:11" x14ac:dyDescent="0.25">
      <c r="A47" s="26" t="s">
        <v>29</v>
      </c>
      <c r="B47" s="29">
        <f>INDEX('会費の受け取り'!$C$10:$C$57,5)&amp;""</f>
      </c>
      <c r="C47" s="29"/>
      <c r="D47" s="29"/>
      <c r="E47" s="24"/>
      <c r="F47" s="30">
        <f>INDEX('会費の受け取り'!$C$10:$C$57,5)&amp;""</f>
      </c>
      <c r="G47" s="30"/>
      <c r="H47" s="30"/>
      <c r="I47" s="30"/>
      <c r="J47" s="30"/>
      <c r="K47" s="31" t="s">
        <v>49</v>
      </c>
    </row>
    <row r="48" ht="32" customHeight="1" spans="1:11" x14ac:dyDescent="0.25">
      <c r="A48" s="26" t="s">
        <v>50</v>
      </c>
      <c r="B48" s="32">
        <f>IF(INDEX('会費の受け取り'!$C$10:$C$57,5)="","",IF(INDEX('会費の受け取り'!$D$10:$D$57,5)="",N('会費の受け取り'!$B$5),INDEX('会費の受け取り'!$D$10:$D$57,5)))</f>
      </c>
      <c r="C48" s="32"/>
      <c r="D48" s="32"/>
      <c r="E48" s="24"/>
      <c r="F48" s="23" t="s">
        <v>50</v>
      </c>
      <c r="G48" s="33">
        <f>IF(INDEX('会費の受け取り'!$C$10:$C$57,5)="","",IF(INDEX('会費の受け取り'!$D$10:$D$57,5)="",N('会費の受け取り'!$B$5),INDEX('会費の受け取り'!$D$10:$D$57,5)))</f>
      </c>
      <c r="H48" s="33"/>
      <c r="I48" s="33"/>
      <c r="J48" s="33"/>
      <c r="K48" s="33"/>
    </row>
    <row r="49" ht="38" customHeight="1" spans="1:12" x14ac:dyDescent="0.25">
      <c r="A49" s="26" t="s">
        <v>51</v>
      </c>
      <c r="B49" s="34">
        <f>IF(INDEX('会費の受け取り'!$C$10:$C$57,5)="","",IF(INDEX('会費の受け取り'!$E$10:$E$57,5)&amp;""&lt;&gt;"",INDEX('会費の受け取り'!$E$10:$E$57,5)&amp;"",'会費の受け取り'!$B$6&amp;""))</f>
      </c>
      <c r="C49" s="34"/>
      <c r="D49" s="34"/>
      <c r="E49" s="24"/>
      <c r="F49" s="35">
        <f>"但し "&amp;IF(INDEX('会費の受け取り'!$C$10:$C$57,5)="","",IF(INDEX('会費の受け取り'!$E$10:$E$57,5)&amp;""&lt;&gt;"",INDEX('会費の受け取り'!$E$10:$E$57,5)&amp;"",'会費の受け取り'!$B$6&amp;""))</f>
      </c>
      <c r="G49" s="35"/>
      <c r="H49" s="35"/>
      <c r="I49" s="35"/>
      <c r="J49" s="35"/>
      <c r="K49" s="35"/>
      <c r="L49" s="35"/>
    </row>
    <row r="50" ht="22" customHeight="1" spans="1:12" x14ac:dyDescent="0.25">
      <c r="A50" s="26" t="s">
        <v>33</v>
      </c>
      <c r="B50" s="29">
        <f>IF(INDEX('会費の受け取り'!$G$10:$G$57,5)&amp;""&lt;&gt;"",INDEX('会費の受け取り'!$G$10:$G$57,5)&amp;"",'会費の受け取り'!$B$4&amp;"")</f>
      </c>
      <c r="C50" s="29"/>
      <c r="D50" s="29"/>
      <c r="E50" s="24"/>
      <c r="F50" s="36" t="s">
        <v>52</v>
      </c>
      <c r="G50" s="36"/>
      <c r="H50" s="36"/>
      <c r="I50" s="36"/>
      <c r="J50" s="36"/>
      <c r="K50" s="36"/>
      <c r="L50" s="36"/>
    </row>
    <row r="51" ht="20" customHeight="1" spans="1:5" x14ac:dyDescent="0.25">
      <c r="A51" s="37">
        <f>IF(INDEX('会費の受け取り'!$H$10:$H$57,5)&amp;""="書き損じ","書き損じ","")</f>
      </c>
      <c r="B51" s="37"/>
      <c r="C51" s="37"/>
      <c r="D51" s="37"/>
      <c r="E51" s="24"/>
    </row>
    <row r="52" ht="22" customHeight="1" spans="5:12" x14ac:dyDescent="0.25">
      <c r="E52" s="24"/>
      <c r="H52" s="38">
        <f>IF('会費の受け取り'!$B$3="","",'会費の受け取り'!$B$3)</f>
      </c>
      <c r="I52" s="38"/>
      <c r="J52" s="38"/>
      <c r="K52" s="38"/>
      <c r="L52" s="38"/>
    </row>
    <row r="53" ht="28" customHeight="1" spans="5:12" x14ac:dyDescent="0.25">
      <c r="E53" s="24"/>
      <c r="H53" s="39">
        <f>IF(INDEX('会費の受け取り'!$G$10:$G$57,5)&amp;""&lt;&gt;"",INDEX('会費の受け取り'!$G$10:$G$57,5)&amp;"",'会費の受け取り'!$B$4&amp;"")</f>
      </c>
      <c r="I53" s="39"/>
      <c r="J53" s="39"/>
      <c r="K53" s="39"/>
      <c r="L53" s="40" t="s">
        <v>53</v>
      </c>
    </row>
    <row r="54" ht="10" customHeight="1" spans="5:5" x14ac:dyDescent="0.25">
      <c r="E54" s="24"/>
    </row>
    <row r="55" ht="12" customHeight="1" spans="1:12" x14ac:dyDescent="0.25">
      <c r="A55" s="41"/>
      <c r="B55" s="41"/>
      <c r="C55" s="41"/>
      <c r="D55" s="41"/>
      <c r="E55" s="42"/>
      <c r="F55" s="41"/>
      <c r="G55" s="41"/>
      <c r="H55" s="41"/>
      <c r="I55" s="41"/>
      <c r="J55" s="41"/>
      <c r="K55" s="41"/>
      <c r="L55" s="41"/>
    </row>
    <row r="56" ht="28" customHeight="1" spans="1:12" x14ac:dyDescent="0.25">
      <c r="A56" s="21" t="s">
        <v>46</v>
      </c>
      <c r="C56" s="22" t="s">
        <v>47</v>
      </c>
      <c r="D56" s="23">
        <f>INDEX('会費の受け取り'!$A$10:$A$57,6)&amp;""</f>
      </c>
      <c r="E56" s="24"/>
      <c r="F56" s="25">
        <f>IF(INDEX('会費の受け取り'!$H$10:$H$57,6)&amp;""="書き損じ","書き損じ","領　収　書")</f>
      </c>
      <c r="G56" s="25"/>
      <c r="H56" s="25"/>
      <c r="I56" s="25"/>
      <c r="J56" s="25"/>
      <c r="K56" s="22" t="s">
        <v>47</v>
      </c>
      <c r="L56" s="23">
        <f>INDEX('会費の受け取り'!$A$10:$A$57,6)&amp;""</f>
      </c>
    </row>
    <row r="57" ht="22" customHeight="1" spans="1:12" x14ac:dyDescent="0.25">
      <c r="A57" s="26" t="s">
        <v>48</v>
      </c>
      <c r="B57" s="27">
        <f>IF(INDEX('会費の受け取り'!$F$10:$F$57,6)="","　　年　　月　　日",INDEX('会費の受け取り'!$F$10:$F$57,6))</f>
      </c>
      <c r="C57" s="27"/>
      <c r="D57" s="27"/>
      <c r="E57" s="24"/>
      <c r="J57" s="28">
        <f>IF(INDEX('会費の受け取り'!$F$10:$F$57,6)="","　　年　　月　　日",INDEX('会費の受け取り'!$F$10:$F$57,6))</f>
      </c>
      <c r="K57" s="28"/>
      <c r="L57" s="28"/>
    </row>
    <row r="58" ht="26" customHeight="1" spans="1:11" x14ac:dyDescent="0.25">
      <c r="A58" s="26" t="s">
        <v>29</v>
      </c>
      <c r="B58" s="29">
        <f>INDEX('会費の受け取り'!$C$10:$C$57,6)&amp;""</f>
      </c>
      <c r="C58" s="29"/>
      <c r="D58" s="29"/>
      <c r="E58" s="24"/>
      <c r="F58" s="30">
        <f>INDEX('会費の受け取り'!$C$10:$C$57,6)&amp;""</f>
      </c>
      <c r="G58" s="30"/>
      <c r="H58" s="30"/>
      <c r="I58" s="30"/>
      <c r="J58" s="30"/>
      <c r="K58" s="31" t="s">
        <v>49</v>
      </c>
    </row>
    <row r="59" ht="32" customHeight="1" spans="1:11" x14ac:dyDescent="0.25">
      <c r="A59" s="26" t="s">
        <v>50</v>
      </c>
      <c r="B59" s="32">
        <f>IF(INDEX('会費の受け取り'!$C$10:$C$57,6)="","",IF(INDEX('会費の受け取り'!$D$10:$D$57,6)="",N('会費の受け取り'!$B$5),INDEX('会費の受け取り'!$D$10:$D$57,6)))</f>
      </c>
      <c r="C59" s="32"/>
      <c r="D59" s="32"/>
      <c r="E59" s="24"/>
      <c r="F59" s="23" t="s">
        <v>50</v>
      </c>
      <c r="G59" s="33">
        <f>IF(INDEX('会費の受け取り'!$C$10:$C$57,6)="","",IF(INDEX('会費の受け取り'!$D$10:$D$57,6)="",N('会費の受け取り'!$B$5),INDEX('会費の受け取り'!$D$10:$D$57,6)))</f>
      </c>
      <c r="H59" s="33"/>
      <c r="I59" s="33"/>
      <c r="J59" s="33"/>
      <c r="K59" s="33"/>
    </row>
    <row r="60" ht="38" customHeight="1" spans="1:12" x14ac:dyDescent="0.25">
      <c r="A60" s="26" t="s">
        <v>51</v>
      </c>
      <c r="B60" s="34">
        <f>IF(INDEX('会費の受け取り'!$C$10:$C$57,6)="","",IF(INDEX('会費の受け取り'!$E$10:$E$57,6)&amp;""&lt;&gt;"",INDEX('会費の受け取り'!$E$10:$E$57,6)&amp;"",'会費の受け取り'!$B$6&amp;""))</f>
      </c>
      <c r="C60" s="34"/>
      <c r="D60" s="34"/>
      <c r="E60" s="24"/>
      <c r="F60" s="35">
        <f>"但し "&amp;IF(INDEX('会費の受け取り'!$C$10:$C$57,6)="","",IF(INDEX('会費の受け取り'!$E$10:$E$57,6)&amp;""&lt;&gt;"",INDEX('会費の受け取り'!$E$10:$E$57,6)&amp;"",'会費の受け取り'!$B$6&amp;""))</f>
      </c>
      <c r="G60" s="35"/>
      <c r="H60" s="35"/>
      <c r="I60" s="35"/>
      <c r="J60" s="35"/>
      <c r="K60" s="35"/>
      <c r="L60" s="35"/>
    </row>
    <row r="61" ht="22" customHeight="1" spans="1:12" x14ac:dyDescent="0.25">
      <c r="A61" s="26" t="s">
        <v>33</v>
      </c>
      <c r="B61" s="29">
        <f>IF(INDEX('会費の受け取り'!$G$10:$G$57,6)&amp;""&lt;&gt;"",INDEX('会費の受け取り'!$G$10:$G$57,6)&amp;"",'会費の受け取り'!$B$4&amp;"")</f>
      </c>
      <c r="C61" s="29"/>
      <c r="D61" s="29"/>
      <c r="E61" s="24"/>
      <c r="F61" s="36" t="s">
        <v>52</v>
      </c>
      <c r="G61" s="36"/>
      <c r="H61" s="36"/>
      <c r="I61" s="36"/>
      <c r="J61" s="36"/>
      <c r="K61" s="36"/>
      <c r="L61" s="36"/>
    </row>
    <row r="62" ht="20" customHeight="1" spans="1:5" x14ac:dyDescent="0.25">
      <c r="A62" s="37">
        <f>IF(INDEX('会費の受け取り'!$H$10:$H$57,6)&amp;""="書き損じ","書き損じ","")</f>
      </c>
      <c r="B62" s="37"/>
      <c r="C62" s="37"/>
      <c r="D62" s="37"/>
      <c r="E62" s="24"/>
    </row>
    <row r="63" ht="22" customHeight="1" spans="5:12" x14ac:dyDescent="0.25">
      <c r="E63" s="24"/>
      <c r="H63" s="38">
        <f>IF('会費の受け取り'!$B$3="","",'会費の受け取り'!$B$3)</f>
      </c>
      <c r="I63" s="38"/>
      <c r="J63" s="38"/>
      <c r="K63" s="38"/>
      <c r="L63" s="38"/>
    </row>
    <row r="64" ht="28" customHeight="1" spans="5:12" x14ac:dyDescent="0.25">
      <c r="E64" s="24"/>
      <c r="H64" s="39">
        <f>IF(INDEX('会費の受け取り'!$G$10:$G$57,6)&amp;""&lt;&gt;"",INDEX('会費の受け取り'!$G$10:$G$57,6)&amp;"",'会費の受け取り'!$B$4&amp;"")</f>
      </c>
      <c r="I64" s="39"/>
      <c r="J64" s="39"/>
      <c r="K64" s="39"/>
      <c r="L64" s="40" t="s">
        <v>53</v>
      </c>
    </row>
    <row r="65" ht="10" customHeight="1" spans="5:5" x14ac:dyDescent="0.25">
      <c r="E65" s="24"/>
    </row>
    <row r="66" ht="12" customHeight="1" spans="1:12" x14ac:dyDescent="0.25">
      <c r="A66" s="41"/>
      <c r="B66" s="41"/>
      <c r="C66" s="41"/>
      <c r="D66" s="41"/>
      <c r="E66" s="42"/>
      <c r="F66" s="41"/>
      <c r="G66" s="41"/>
      <c r="H66" s="41"/>
      <c r="I66" s="41"/>
      <c r="J66" s="41"/>
      <c r="K66" s="41"/>
      <c r="L66" s="41"/>
    </row>
    <row r="67" ht="28" customHeight="1" spans="1:12" x14ac:dyDescent="0.25">
      <c r="A67" s="21" t="s">
        <v>46</v>
      </c>
      <c r="C67" s="22" t="s">
        <v>47</v>
      </c>
      <c r="D67" s="23">
        <f>INDEX('会費の受け取り'!$A$10:$A$57,7)&amp;""</f>
      </c>
      <c r="E67" s="24"/>
      <c r="F67" s="25">
        <f>IF(INDEX('会費の受け取り'!$H$10:$H$57,7)&amp;""="書き損じ","書き損じ","領　収　書")</f>
      </c>
      <c r="G67" s="25"/>
      <c r="H67" s="25"/>
      <c r="I67" s="25"/>
      <c r="J67" s="25"/>
      <c r="K67" s="22" t="s">
        <v>47</v>
      </c>
      <c r="L67" s="23">
        <f>INDEX('会費の受け取り'!$A$10:$A$57,7)&amp;""</f>
      </c>
    </row>
    <row r="68" ht="22" customHeight="1" spans="1:12" x14ac:dyDescent="0.25">
      <c r="A68" s="26" t="s">
        <v>48</v>
      </c>
      <c r="B68" s="27">
        <f>IF(INDEX('会費の受け取り'!$F$10:$F$57,7)="","　　年　　月　　日",INDEX('会費の受け取り'!$F$10:$F$57,7))</f>
      </c>
      <c r="C68" s="27"/>
      <c r="D68" s="27"/>
      <c r="E68" s="24"/>
      <c r="J68" s="28">
        <f>IF(INDEX('会費の受け取り'!$F$10:$F$57,7)="","　　年　　月　　日",INDEX('会費の受け取り'!$F$10:$F$57,7))</f>
      </c>
      <c r="K68" s="28"/>
      <c r="L68" s="28"/>
    </row>
    <row r="69" ht="26" customHeight="1" spans="1:11" x14ac:dyDescent="0.25">
      <c r="A69" s="26" t="s">
        <v>29</v>
      </c>
      <c r="B69" s="29">
        <f>INDEX('会費の受け取り'!$C$10:$C$57,7)&amp;""</f>
      </c>
      <c r="C69" s="29"/>
      <c r="D69" s="29"/>
      <c r="E69" s="24"/>
      <c r="F69" s="30">
        <f>INDEX('会費の受け取り'!$C$10:$C$57,7)&amp;""</f>
      </c>
      <c r="G69" s="30"/>
      <c r="H69" s="30"/>
      <c r="I69" s="30"/>
      <c r="J69" s="30"/>
      <c r="K69" s="31" t="s">
        <v>49</v>
      </c>
    </row>
    <row r="70" ht="32" customHeight="1" spans="1:11" x14ac:dyDescent="0.25">
      <c r="A70" s="26" t="s">
        <v>50</v>
      </c>
      <c r="B70" s="32">
        <f>IF(INDEX('会費の受け取り'!$C$10:$C$57,7)="","",IF(INDEX('会費の受け取り'!$D$10:$D$57,7)="",N('会費の受け取り'!$B$5),INDEX('会費の受け取り'!$D$10:$D$57,7)))</f>
      </c>
      <c r="C70" s="32"/>
      <c r="D70" s="32"/>
      <c r="E70" s="24"/>
      <c r="F70" s="23" t="s">
        <v>50</v>
      </c>
      <c r="G70" s="33">
        <f>IF(INDEX('会費の受け取り'!$C$10:$C$57,7)="","",IF(INDEX('会費の受け取り'!$D$10:$D$57,7)="",N('会費の受け取り'!$B$5),INDEX('会費の受け取り'!$D$10:$D$57,7)))</f>
      </c>
      <c r="H70" s="33"/>
      <c r="I70" s="33"/>
      <c r="J70" s="33"/>
      <c r="K70" s="33"/>
    </row>
    <row r="71" ht="38" customHeight="1" spans="1:12" x14ac:dyDescent="0.25">
      <c r="A71" s="26" t="s">
        <v>51</v>
      </c>
      <c r="B71" s="34">
        <f>IF(INDEX('会費の受け取り'!$C$10:$C$57,7)="","",IF(INDEX('会費の受け取り'!$E$10:$E$57,7)&amp;""&lt;&gt;"",INDEX('会費の受け取り'!$E$10:$E$57,7)&amp;"",'会費の受け取り'!$B$6&amp;""))</f>
      </c>
      <c r="C71" s="34"/>
      <c r="D71" s="34"/>
      <c r="E71" s="24"/>
      <c r="F71" s="35">
        <f>"但し "&amp;IF(INDEX('会費の受け取り'!$C$10:$C$57,7)="","",IF(INDEX('会費の受け取り'!$E$10:$E$57,7)&amp;""&lt;&gt;"",INDEX('会費の受け取り'!$E$10:$E$57,7)&amp;"",'会費の受け取り'!$B$6&amp;""))</f>
      </c>
      <c r="G71" s="35"/>
      <c r="H71" s="35"/>
      <c r="I71" s="35"/>
      <c r="J71" s="35"/>
      <c r="K71" s="35"/>
      <c r="L71" s="35"/>
    </row>
    <row r="72" ht="22" customHeight="1" spans="1:12" x14ac:dyDescent="0.25">
      <c r="A72" s="26" t="s">
        <v>33</v>
      </c>
      <c r="B72" s="29">
        <f>IF(INDEX('会費の受け取り'!$G$10:$G$57,7)&amp;""&lt;&gt;"",INDEX('会費の受け取り'!$G$10:$G$57,7)&amp;"",'会費の受け取り'!$B$4&amp;"")</f>
      </c>
      <c r="C72" s="29"/>
      <c r="D72" s="29"/>
      <c r="E72" s="24"/>
      <c r="F72" s="36" t="s">
        <v>52</v>
      </c>
      <c r="G72" s="36"/>
      <c r="H72" s="36"/>
      <c r="I72" s="36"/>
      <c r="J72" s="36"/>
      <c r="K72" s="36"/>
      <c r="L72" s="36"/>
    </row>
    <row r="73" ht="20" customHeight="1" spans="1:5" x14ac:dyDescent="0.25">
      <c r="A73" s="37">
        <f>IF(INDEX('会費の受け取り'!$H$10:$H$57,7)&amp;""="書き損じ","書き損じ","")</f>
      </c>
      <c r="B73" s="37"/>
      <c r="C73" s="37"/>
      <c r="D73" s="37"/>
      <c r="E73" s="24"/>
    </row>
    <row r="74" ht="22" customHeight="1" spans="5:12" x14ac:dyDescent="0.25">
      <c r="E74" s="24"/>
      <c r="H74" s="38">
        <f>IF('会費の受け取り'!$B$3="","",'会費の受け取り'!$B$3)</f>
      </c>
      <c r="I74" s="38"/>
      <c r="J74" s="38"/>
      <c r="K74" s="38"/>
      <c r="L74" s="38"/>
    </row>
    <row r="75" ht="28" customHeight="1" spans="5:12" x14ac:dyDescent="0.25">
      <c r="E75" s="24"/>
      <c r="H75" s="39">
        <f>IF(INDEX('会費の受け取り'!$G$10:$G$57,7)&amp;""&lt;&gt;"",INDEX('会費の受け取り'!$G$10:$G$57,7)&amp;"",'会費の受け取り'!$B$4&amp;"")</f>
      </c>
      <c r="I75" s="39"/>
      <c r="J75" s="39"/>
      <c r="K75" s="39"/>
      <c r="L75" s="40" t="s">
        <v>53</v>
      </c>
    </row>
    <row r="76" ht="10" customHeight="1" spans="5:5" x14ac:dyDescent="0.25">
      <c r="E76" s="24"/>
    </row>
    <row r="77" ht="12" customHeight="1" spans="1:12" x14ac:dyDescent="0.25">
      <c r="A77" s="41"/>
      <c r="B77" s="41"/>
      <c r="C77" s="41"/>
      <c r="D77" s="41"/>
      <c r="E77" s="42"/>
      <c r="F77" s="41"/>
      <c r="G77" s="41"/>
      <c r="H77" s="41"/>
      <c r="I77" s="41"/>
      <c r="J77" s="41"/>
      <c r="K77" s="41"/>
      <c r="L77" s="41"/>
    </row>
    <row r="78" ht="28" customHeight="1" spans="1:12" x14ac:dyDescent="0.25">
      <c r="A78" s="21" t="s">
        <v>46</v>
      </c>
      <c r="C78" s="22" t="s">
        <v>47</v>
      </c>
      <c r="D78" s="23">
        <f>INDEX('会費の受け取り'!$A$10:$A$57,8)&amp;""</f>
      </c>
      <c r="E78" s="24"/>
      <c r="F78" s="25">
        <f>IF(INDEX('会費の受け取り'!$H$10:$H$57,8)&amp;""="書き損じ","書き損じ","領　収　書")</f>
      </c>
      <c r="G78" s="25"/>
      <c r="H78" s="25"/>
      <c r="I78" s="25"/>
      <c r="J78" s="25"/>
      <c r="K78" s="22" t="s">
        <v>47</v>
      </c>
      <c r="L78" s="23">
        <f>INDEX('会費の受け取り'!$A$10:$A$57,8)&amp;""</f>
      </c>
    </row>
    <row r="79" ht="22" customHeight="1" spans="1:12" x14ac:dyDescent="0.25">
      <c r="A79" s="26" t="s">
        <v>48</v>
      </c>
      <c r="B79" s="27">
        <f>IF(INDEX('会費の受け取り'!$F$10:$F$57,8)="","　　年　　月　　日",INDEX('会費の受け取り'!$F$10:$F$57,8))</f>
      </c>
      <c r="C79" s="27"/>
      <c r="D79" s="27"/>
      <c r="E79" s="24"/>
      <c r="J79" s="28">
        <f>IF(INDEX('会費の受け取り'!$F$10:$F$57,8)="","　　年　　月　　日",INDEX('会費の受け取り'!$F$10:$F$57,8))</f>
      </c>
      <c r="K79" s="28"/>
      <c r="L79" s="28"/>
    </row>
    <row r="80" ht="26" customHeight="1" spans="1:11" x14ac:dyDescent="0.25">
      <c r="A80" s="26" t="s">
        <v>29</v>
      </c>
      <c r="B80" s="29">
        <f>INDEX('会費の受け取り'!$C$10:$C$57,8)&amp;""</f>
      </c>
      <c r="C80" s="29"/>
      <c r="D80" s="29"/>
      <c r="E80" s="24"/>
      <c r="F80" s="30">
        <f>INDEX('会費の受け取り'!$C$10:$C$57,8)&amp;""</f>
      </c>
      <c r="G80" s="30"/>
      <c r="H80" s="30"/>
      <c r="I80" s="30"/>
      <c r="J80" s="30"/>
      <c r="K80" s="31" t="s">
        <v>49</v>
      </c>
    </row>
    <row r="81" ht="32" customHeight="1" spans="1:11" x14ac:dyDescent="0.25">
      <c r="A81" s="26" t="s">
        <v>50</v>
      </c>
      <c r="B81" s="32">
        <f>IF(INDEX('会費の受け取り'!$C$10:$C$57,8)="","",IF(INDEX('会費の受け取り'!$D$10:$D$57,8)="",N('会費の受け取り'!$B$5),INDEX('会費の受け取り'!$D$10:$D$57,8)))</f>
      </c>
      <c r="C81" s="32"/>
      <c r="D81" s="32"/>
      <c r="E81" s="24"/>
      <c r="F81" s="23" t="s">
        <v>50</v>
      </c>
      <c r="G81" s="33">
        <f>IF(INDEX('会費の受け取り'!$C$10:$C$57,8)="","",IF(INDEX('会費の受け取り'!$D$10:$D$57,8)="",N('会費の受け取り'!$B$5),INDEX('会費の受け取り'!$D$10:$D$57,8)))</f>
      </c>
      <c r="H81" s="33"/>
      <c r="I81" s="33"/>
      <c r="J81" s="33"/>
      <c r="K81" s="33"/>
    </row>
    <row r="82" ht="38" customHeight="1" spans="1:12" x14ac:dyDescent="0.25">
      <c r="A82" s="26" t="s">
        <v>51</v>
      </c>
      <c r="B82" s="34">
        <f>IF(INDEX('会費の受け取り'!$C$10:$C$57,8)="","",IF(INDEX('会費の受け取り'!$E$10:$E$57,8)&amp;""&lt;&gt;"",INDEX('会費の受け取り'!$E$10:$E$57,8)&amp;"",'会費の受け取り'!$B$6&amp;""))</f>
      </c>
      <c r="C82" s="34"/>
      <c r="D82" s="34"/>
      <c r="E82" s="24"/>
      <c r="F82" s="35">
        <f>"但し "&amp;IF(INDEX('会費の受け取り'!$C$10:$C$57,8)="","",IF(INDEX('会費の受け取り'!$E$10:$E$57,8)&amp;""&lt;&gt;"",INDEX('会費の受け取り'!$E$10:$E$57,8)&amp;"",'会費の受け取り'!$B$6&amp;""))</f>
      </c>
      <c r="G82" s="35"/>
      <c r="H82" s="35"/>
      <c r="I82" s="35"/>
      <c r="J82" s="35"/>
      <c r="K82" s="35"/>
      <c r="L82" s="35"/>
    </row>
    <row r="83" ht="22" customHeight="1" spans="1:12" x14ac:dyDescent="0.25">
      <c r="A83" s="26" t="s">
        <v>33</v>
      </c>
      <c r="B83" s="29">
        <f>IF(INDEX('会費の受け取り'!$G$10:$G$57,8)&amp;""&lt;&gt;"",INDEX('会費の受け取り'!$G$10:$G$57,8)&amp;"",'会費の受け取り'!$B$4&amp;"")</f>
      </c>
      <c r="C83" s="29"/>
      <c r="D83" s="29"/>
      <c r="E83" s="24"/>
      <c r="F83" s="36" t="s">
        <v>52</v>
      </c>
      <c r="G83" s="36"/>
      <c r="H83" s="36"/>
      <c r="I83" s="36"/>
      <c r="J83" s="36"/>
      <c r="K83" s="36"/>
      <c r="L83" s="36"/>
    </row>
    <row r="84" ht="20" customHeight="1" spans="1:5" x14ac:dyDescent="0.25">
      <c r="A84" s="37">
        <f>IF(INDEX('会費の受け取り'!$H$10:$H$57,8)&amp;""="書き損じ","書き損じ","")</f>
      </c>
      <c r="B84" s="37"/>
      <c r="C84" s="37"/>
      <c r="D84" s="37"/>
      <c r="E84" s="24"/>
    </row>
    <row r="85" ht="22" customHeight="1" spans="5:12" x14ac:dyDescent="0.25">
      <c r="E85" s="24"/>
      <c r="H85" s="38">
        <f>IF('会費の受け取り'!$B$3="","",'会費の受け取り'!$B$3)</f>
      </c>
      <c r="I85" s="38"/>
      <c r="J85" s="38"/>
      <c r="K85" s="38"/>
      <c r="L85" s="38"/>
    </row>
    <row r="86" ht="28" customHeight="1" spans="5:12" x14ac:dyDescent="0.25">
      <c r="E86" s="24"/>
      <c r="H86" s="39">
        <f>IF(INDEX('会費の受け取り'!$G$10:$G$57,8)&amp;""&lt;&gt;"",INDEX('会費の受け取り'!$G$10:$G$57,8)&amp;"",'会費の受け取り'!$B$4&amp;"")</f>
      </c>
      <c r="I86" s="39"/>
      <c r="J86" s="39"/>
      <c r="K86" s="39"/>
      <c r="L86" s="40" t="s">
        <v>53</v>
      </c>
    </row>
    <row r="87" ht="10" customHeight="1" spans="5:5" x14ac:dyDescent="0.25">
      <c r="E87" s="24"/>
    </row>
    <row r="88" ht="12" customHeight="1" spans="1:12" x14ac:dyDescent="0.25">
      <c r="A88" s="41"/>
      <c r="B88" s="41"/>
      <c r="C88" s="41"/>
      <c r="D88" s="41"/>
      <c r="E88" s="42"/>
      <c r="F88" s="41"/>
      <c r="G88" s="41"/>
      <c r="H88" s="41"/>
      <c r="I88" s="41"/>
      <c r="J88" s="41"/>
      <c r="K88" s="41"/>
      <c r="L88" s="41"/>
    </row>
    <row r="89" ht="28" customHeight="1" spans="1:12" x14ac:dyDescent="0.25">
      <c r="A89" s="21" t="s">
        <v>46</v>
      </c>
      <c r="C89" s="22" t="s">
        <v>47</v>
      </c>
      <c r="D89" s="23">
        <f>INDEX('会費の受け取り'!$A$10:$A$57,9)&amp;""</f>
      </c>
      <c r="E89" s="24"/>
      <c r="F89" s="25">
        <f>IF(INDEX('会費の受け取り'!$H$10:$H$57,9)&amp;""="書き損じ","書き損じ","領　収　書")</f>
      </c>
      <c r="G89" s="25"/>
      <c r="H89" s="25"/>
      <c r="I89" s="25"/>
      <c r="J89" s="25"/>
      <c r="K89" s="22" t="s">
        <v>47</v>
      </c>
      <c r="L89" s="23">
        <f>INDEX('会費の受け取り'!$A$10:$A$57,9)&amp;""</f>
      </c>
    </row>
    <row r="90" ht="22" customHeight="1" spans="1:12" x14ac:dyDescent="0.25">
      <c r="A90" s="26" t="s">
        <v>48</v>
      </c>
      <c r="B90" s="27">
        <f>IF(INDEX('会費の受け取り'!$F$10:$F$57,9)="","　　年　　月　　日",INDEX('会費の受け取り'!$F$10:$F$57,9))</f>
      </c>
      <c r="C90" s="27"/>
      <c r="D90" s="27"/>
      <c r="E90" s="24"/>
      <c r="J90" s="28">
        <f>IF(INDEX('会費の受け取り'!$F$10:$F$57,9)="","　　年　　月　　日",INDEX('会費の受け取り'!$F$10:$F$57,9))</f>
      </c>
      <c r="K90" s="28"/>
      <c r="L90" s="28"/>
    </row>
    <row r="91" ht="26" customHeight="1" spans="1:11" x14ac:dyDescent="0.25">
      <c r="A91" s="26" t="s">
        <v>29</v>
      </c>
      <c r="B91" s="29">
        <f>INDEX('会費の受け取り'!$C$10:$C$57,9)&amp;""</f>
      </c>
      <c r="C91" s="29"/>
      <c r="D91" s="29"/>
      <c r="E91" s="24"/>
      <c r="F91" s="30">
        <f>INDEX('会費の受け取り'!$C$10:$C$57,9)&amp;""</f>
      </c>
      <c r="G91" s="30"/>
      <c r="H91" s="30"/>
      <c r="I91" s="30"/>
      <c r="J91" s="30"/>
      <c r="K91" s="31" t="s">
        <v>49</v>
      </c>
    </row>
    <row r="92" ht="32" customHeight="1" spans="1:11" x14ac:dyDescent="0.25">
      <c r="A92" s="26" t="s">
        <v>50</v>
      </c>
      <c r="B92" s="32">
        <f>IF(INDEX('会費の受け取り'!$C$10:$C$57,9)="","",IF(INDEX('会費の受け取り'!$D$10:$D$57,9)="",N('会費の受け取り'!$B$5),INDEX('会費の受け取り'!$D$10:$D$57,9)))</f>
      </c>
      <c r="C92" s="32"/>
      <c r="D92" s="32"/>
      <c r="E92" s="24"/>
      <c r="F92" s="23" t="s">
        <v>50</v>
      </c>
      <c r="G92" s="33">
        <f>IF(INDEX('会費の受け取り'!$C$10:$C$57,9)="","",IF(INDEX('会費の受け取り'!$D$10:$D$57,9)="",N('会費の受け取り'!$B$5),INDEX('会費の受け取り'!$D$10:$D$57,9)))</f>
      </c>
      <c r="H92" s="33"/>
      <c r="I92" s="33"/>
      <c r="J92" s="33"/>
      <c r="K92" s="33"/>
    </row>
    <row r="93" ht="38" customHeight="1" spans="1:12" x14ac:dyDescent="0.25">
      <c r="A93" s="26" t="s">
        <v>51</v>
      </c>
      <c r="B93" s="34">
        <f>IF(INDEX('会費の受け取り'!$C$10:$C$57,9)="","",IF(INDEX('会費の受け取り'!$E$10:$E$57,9)&amp;""&lt;&gt;"",INDEX('会費の受け取り'!$E$10:$E$57,9)&amp;"",'会費の受け取り'!$B$6&amp;""))</f>
      </c>
      <c r="C93" s="34"/>
      <c r="D93" s="34"/>
      <c r="E93" s="24"/>
      <c r="F93" s="35">
        <f>"但し "&amp;IF(INDEX('会費の受け取り'!$C$10:$C$57,9)="","",IF(INDEX('会費の受け取り'!$E$10:$E$57,9)&amp;""&lt;&gt;"",INDEX('会費の受け取り'!$E$10:$E$57,9)&amp;"",'会費の受け取り'!$B$6&amp;""))</f>
      </c>
      <c r="G93" s="35"/>
      <c r="H93" s="35"/>
      <c r="I93" s="35"/>
      <c r="J93" s="35"/>
      <c r="K93" s="35"/>
      <c r="L93" s="35"/>
    </row>
    <row r="94" ht="22" customHeight="1" spans="1:12" x14ac:dyDescent="0.25">
      <c r="A94" s="26" t="s">
        <v>33</v>
      </c>
      <c r="B94" s="29">
        <f>IF(INDEX('会費の受け取り'!$G$10:$G$57,9)&amp;""&lt;&gt;"",INDEX('会費の受け取り'!$G$10:$G$57,9)&amp;"",'会費の受け取り'!$B$4&amp;"")</f>
      </c>
      <c r="C94" s="29"/>
      <c r="D94" s="29"/>
      <c r="E94" s="24"/>
      <c r="F94" s="36" t="s">
        <v>52</v>
      </c>
      <c r="G94" s="36"/>
      <c r="H94" s="36"/>
      <c r="I94" s="36"/>
      <c r="J94" s="36"/>
      <c r="K94" s="36"/>
      <c r="L94" s="36"/>
    </row>
    <row r="95" ht="20" customHeight="1" spans="1:5" x14ac:dyDescent="0.25">
      <c r="A95" s="37">
        <f>IF(INDEX('会費の受け取り'!$H$10:$H$57,9)&amp;""="書き損じ","書き損じ","")</f>
      </c>
      <c r="B95" s="37"/>
      <c r="C95" s="37"/>
      <c r="D95" s="37"/>
      <c r="E95" s="24"/>
    </row>
    <row r="96" ht="22" customHeight="1" spans="5:12" x14ac:dyDescent="0.25">
      <c r="E96" s="24"/>
      <c r="H96" s="38">
        <f>IF('会費の受け取り'!$B$3="","",'会費の受け取り'!$B$3)</f>
      </c>
      <c r="I96" s="38"/>
      <c r="J96" s="38"/>
      <c r="K96" s="38"/>
      <c r="L96" s="38"/>
    </row>
    <row r="97" ht="28" customHeight="1" spans="5:12" x14ac:dyDescent="0.25">
      <c r="E97" s="24"/>
      <c r="H97" s="39">
        <f>IF(INDEX('会費の受け取り'!$G$10:$G$57,9)&amp;""&lt;&gt;"",INDEX('会費の受け取り'!$G$10:$G$57,9)&amp;"",'会費の受け取り'!$B$4&amp;"")</f>
      </c>
      <c r="I97" s="39"/>
      <c r="J97" s="39"/>
      <c r="K97" s="39"/>
      <c r="L97" s="40" t="s">
        <v>53</v>
      </c>
    </row>
    <row r="98" ht="10" customHeight="1" spans="5:5" x14ac:dyDescent="0.25">
      <c r="E98" s="24"/>
    </row>
    <row r="99" ht="12" customHeight="1" spans="1:12" x14ac:dyDescent="0.25">
      <c r="A99" s="41"/>
      <c r="B99" s="41"/>
      <c r="C99" s="41"/>
      <c r="D99" s="41"/>
      <c r="E99" s="42"/>
      <c r="F99" s="41"/>
      <c r="G99" s="41"/>
      <c r="H99" s="41"/>
      <c r="I99" s="41"/>
      <c r="J99" s="41"/>
      <c r="K99" s="41"/>
      <c r="L99" s="41"/>
    </row>
    <row r="100" ht="28" customHeight="1" spans="1:12" x14ac:dyDescent="0.25">
      <c r="A100" s="21" t="s">
        <v>46</v>
      </c>
      <c r="C100" s="22" t="s">
        <v>47</v>
      </c>
      <c r="D100" s="23">
        <f>INDEX('会費の受け取り'!$A$10:$A$57,10)&amp;""</f>
      </c>
      <c r="E100" s="24"/>
      <c r="F100" s="25">
        <f>IF(INDEX('会費の受け取り'!$H$10:$H$57,10)&amp;""="書き損じ","書き損じ","領　収　書")</f>
      </c>
      <c r="G100" s="25"/>
      <c r="H100" s="25"/>
      <c r="I100" s="25"/>
      <c r="J100" s="25"/>
      <c r="K100" s="22" t="s">
        <v>47</v>
      </c>
      <c r="L100" s="23">
        <f>INDEX('会費の受け取り'!$A$10:$A$57,10)&amp;""</f>
      </c>
    </row>
    <row r="101" ht="22" customHeight="1" spans="1:12" x14ac:dyDescent="0.25">
      <c r="A101" s="26" t="s">
        <v>48</v>
      </c>
      <c r="B101" s="27">
        <f>IF(INDEX('会費の受け取り'!$F$10:$F$57,10)="","　　年　　月　　日",INDEX('会費の受け取り'!$F$10:$F$57,10))</f>
      </c>
      <c r="C101" s="27"/>
      <c r="D101" s="27"/>
      <c r="E101" s="24"/>
      <c r="J101" s="28">
        <f>IF(INDEX('会費の受け取り'!$F$10:$F$57,10)="","　　年　　月　　日",INDEX('会費の受け取り'!$F$10:$F$57,10))</f>
      </c>
      <c r="K101" s="28"/>
      <c r="L101" s="28"/>
    </row>
    <row r="102" ht="26" customHeight="1" spans="1:11" x14ac:dyDescent="0.25">
      <c r="A102" s="26" t="s">
        <v>29</v>
      </c>
      <c r="B102" s="29">
        <f>INDEX('会費の受け取り'!$C$10:$C$57,10)&amp;""</f>
      </c>
      <c r="C102" s="29"/>
      <c r="D102" s="29"/>
      <c r="E102" s="24"/>
      <c r="F102" s="30">
        <f>INDEX('会費の受け取り'!$C$10:$C$57,10)&amp;""</f>
      </c>
      <c r="G102" s="30"/>
      <c r="H102" s="30"/>
      <c r="I102" s="30"/>
      <c r="J102" s="30"/>
      <c r="K102" s="31" t="s">
        <v>49</v>
      </c>
    </row>
    <row r="103" ht="32" customHeight="1" spans="1:11" x14ac:dyDescent="0.25">
      <c r="A103" s="26" t="s">
        <v>50</v>
      </c>
      <c r="B103" s="32">
        <f>IF(INDEX('会費の受け取り'!$C$10:$C$57,10)="","",IF(INDEX('会費の受け取り'!$D$10:$D$57,10)="",N('会費の受け取り'!$B$5),INDEX('会費の受け取り'!$D$10:$D$57,10)))</f>
      </c>
      <c r="C103" s="32"/>
      <c r="D103" s="32"/>
      <c r="E103" s="24"/>
      <c r="F103" s="23" t="s">
        <v>50</v>
      </c>
      <c r="G103" s="33">
        <f>IF(INDEX('会費の受け取り'!$C$10:$C$57,10)="","",IF(INDEX('会費の受け取り'!$D$10:$D$57,10)="",N('会費の受け取り'!$B$5),INDEX('会費の受け取り'!$D$10:$D$57,10)))</f>
      </c>
      <c r="H103" s="33"/>
      <c r="I103" s="33"/>
      <c r="J103" s="33"/>
      <c r="K103" s="33"/>
    </row>
    <row r="104" ht="38" customHeight="1" spans="1:12" x14ac:dyDescent="0.25">
      <c r="A104" s="26" t="s">
        <v>51</v>
      </c>
      <c r="B104" s="34">
        <f>IF(INDEX('会費の受け取り'!$C$10:$C$57,10)="","",IF(INDEX('会費の受け取り'!$E$10:$E$57,10)&amp;""&lt;&gt;"",INDEX('会費の受け取り'!$E$10:$E$57,10)&amp;"",'会費の受け取り'!$B$6&amp;""))</f>
      </c>
      <c r="C104" s="34"/>
      <c r="D104" s="34"/>
      <c r="E104" s="24"/>
      <c r="F104" s="35">
        <f>"但し "&amp;IF(INDEX('会費の受け取り'!$C$10:$C$57,10)="","",IF(INDEX('会費の受け取り'!$E$10:$E$57,10)&amp;""&lt;&gt;"",INDEX('会費の受け取り'!$E$10:$E$57,10)&amp;"",'会費の受け取り'!$B$6&amp;""))</f>
      </c>
      <c r="G104" s="35"/>
      <c r="H104" s="35"/>
      <c r="I104" s="35"/>
      <c r="J104" s="35"/>
      <c r="K104" s="35"/>
      <c r="L104" s="35"/>
    </row>
    <row r="105" ht="22" customHeight="1" spans="1:12" x14ac:dyDescent="0.25">
      <c r="A105" s="26" t="s">
        <v>33</v>
      </c>
      <c r="B105" s="29">
        <f>IF(INDEX('会費の受け取り'!$G$10:$G$57,10)&amp;""&lt;&gt;"",INDEX('会費の受け取り'!$G$10:$G$57,10)&amp;"",'会費の受け取り'!$B$4&amp;"")</f>
      </c>
      <c r="C105" s="29"/>
      <c r="D105" s="29"/>
      <c r="E105" s="24"/>
      <c r="F105" s="36" t="s">
        <v>52</v>
      </c>
      <c r="G105" s="36"/>
      <c r="H105" s="36"/>
      <c r="I105" s="36"/>
      <c r="J105" s="36"/>
      <c r="K105" s="36"/>
      <c r="L105" s="36"/>
    </row>
    <row r="106" ht="20" customHeight="1" spans="1:5" x14ac:dyDescent="0.25">
      <c r="A106" s="37">
        <f>IF(INDEX('会費の受け取り'!$H$10:$H$57,10)&amp;""="書き損じ","書き損じ","")</f>
      </c>
      <c r="B106" s="37"/>
      <c r="C106" s="37"/>
      <c r="D106" s="37"/>
      <c r="E106" s="24"/>
    </row>
    <row r="107" ht="22" customHeight="1" spans="5:12" x14ac:dyDescent="0.25">
      <c r="E107" s="24"/>
      <c r="H107" s="38">
        <f>IF('会費の受け取り'!$B$3="","",'会費の受け取り'!$B$3)</f>
      </c>
      <c r="I107" s="38"/>
      <c r="J107" s="38"/>
      <c r="K107" s="38"/>
      <c r="L107" s="38"/>
    </row>
    <row r="108" ht="28" customHeight="1" spans="5:12" x14ac:dyDescent="0.25">
      <c r="E108" s="24"/>
      <c r="H108" s="39">
        <f>IF(INDEX('会費の受け取り'!$G$10:$G$57,10)&amp;""&lt;&gt;"",INDEX('会費の受け取り'!$G$10:$G$57,10)&amp;"",'会費の受け取り'!$B$4&amp;"")</f>
      </c>
      <c r="I108" s="39"/>
      <c r="J108" s="39"/>
      <c r="K108" s="39"/>
      <c r="L108" s="40" t="s">
        <v>53</v>
      </c>
    </row>
    <row r="109" ht="10" customHeight="1" spans="5:5" x14ac:dyDescent="0.25">
      <c r="E109" s="24"/>
    </row>
    <row r="110" ht="12" customHeight="1" spans="1:12" x14ac:dyDescent="0.25">
      <c r="A110" s="41"/>
      <c r="B110" s="41"/>
      <c r="C110" s="41"/>
      <c r="D110" s="41"/>
      <c r="E110" s="42"/>
      <c r="F110" s="41"/>
      <c r="G110" s="41"/>
      <c r="H110" s="41"/>
      <c r="I110" s="41"/>
      <c r="J110" s="41"/>
      <c r="K110" s="41"/>
      <c r="L110" s="41"/>
    </row>
    <row r="111" ht="28" customHeight="1" spans="1:12" x14ac:dyDescent="0.25">
      <c r="A111" s="21" t="s">
        <v>46</v>
      </c>
      <c r="C111" s="22" t="s">
        <v>47</v>
      </c>
      <c r="D111" s="23">
        <f>INDEX('会費の受け取り'!$A$10:$A$57,11)&amp;""</f>
      </c>
      <c r="E111" s="24"/>
      <c r="F111" s="25">
        <f>IF(INDEX('会費の受け取り'!$H$10:$H$57,11)&amp;""="書き損じ","書き損じ","領　収　書")</f>
      </c>
      <c r="G111" s="25"/>
      <c r="H111" s="25"/>
      <c r="I111" s="25"/>
      <c r="J111" s="25"/>
      <c r="K111" s="22" t="s">
        <v>47</v>
      </c>
      <c r="L111" s="23">
        <f>INDEX('会費の受け取り'!$A$10:$A$57,11)&amp;""</f>
      </c>
    </row>
    <row r="112" ht="22" customHeight="1" spans="1:12" x14ac:dyDescent="0.25">
      <c r="A112" s="26" t="s">
        <v>48</v>
      </c>
      <c r="B112" s="27">
        <f>IF(INDEX('会費の受け取り'!$F$10:$F$57,11)="","　　年　　月　　日",INDEX('会費の受け取り'!$F$10:$F$57,11))</f>
      </c>
      <c r="C112" s="27"/>
      <c r="D112" s="27"/>
      <c r="E112" s="24"/>
      <c r="J112" s="28">
        <f>IF(INDEX('会費の受け取り'!$F$10:$F$57,11)="","　　年　　月　　日",INDEX('会費の受け取り'!$F$10:$F$57,11))</f>
      </c>
      <c r="K112" s="28"/>
      <c r="L112" s="28"/>
    </row>
    <row r="113" ht="26" customHeight="1" spans="1:11" x14ac:dyDescent="0.25">
      <c r="A113" s="26" t="s">
        <v>29</v>
      </c>
      <c r="B113" s="29">
        <f>INDEX('会費の受け取り'!$C$10:$C$57,11)&amp;""</f>
      </c>
      <c r="C113" s="29"/>
      <c r="D113" s="29"/>
      <c r="E113" s="24"/>
      <c r="F113" s="30">
        <f>INDEX('会費の受け取り'!$C$10:$C$57,11)&amp;""</f>
      </c>
      <c r="G113" s="30"/>
      <c r="H113" s="30"/>
      <c r="I113" s="30"/>
      <c r="J113" s="30"/>
      <c r="K113" s="31" t="s">
        <v>49</v>
      </c>
    </row>
    <row r="114" ht="32" customHeight="1" spans="1:11" x14ac:dyDescent="0.25">
      <c r="A114" s="26" t="s">
        <v>50</v>
      </c>
      <c r="B114" s="32">
        <f>IF(INDEX('会費の受け取り'!$C$10:$C$57,11)="","",IF(INDEX('会費の受け取り'!$D$10:$D$57,11)="",N('会費の受け取り'!$B$5),INDEX('会費の受け取り'!$D$10:$D$57,11)))</f>
      </c>
      <c r="C114" s="32"/>
      <c r="D114" s="32"/>
      <c r="E114" s="24"/>
      <c r="F114" s="23" t="s">
        <v>50</v>
      </c>
      <c r="G114" s="33">
        <f>IF(INDEX('会費の受け取り'!$C$10:$C$57,11)="","",IF(INDEX('会費の受け取り'!$D$10:$D$57,11)="",N('会費の受け取り'!$B$5),INDEX('会費の受け取り'!$D$10:$D$57,11)))</f>
      </c>
      <c r="H114" s="33"/>
      <c r="I114" s="33"/>
      <c r="J114" s="33"/>
      <c r="K114" s="33"/>
    </row>
    <row r="115" ht="38" customHeight="1" spans="1:12" x14ac:dyDescent="0.25">
      <c r="A115" s="26" t="s">
        <v>51</v>
      </c>
      <c r="B115" s="34">
        <f>IF(INDEX('会費の受け取り'!$C$10:$C$57,11)="","",IF(INDEX('会費の受け取り'!$E$10:$E$57,11)&amp;""&lt;&gt;"",INDEX('会費の受け取り'!$E$10:$E$57,11)&amp;"",'会費の受け取り'!$B$6&amp;""))</f>
      </c>
      <c r="C115" s="34"/>
      <c r="D115" s="34"/>
      <c r="E115" s="24"/>
      <c r="F115" s="35">
        <f>"但し "&amp;IF(INDEX('会費の受け取り'!$C$10:$C$57,11)="","",IF(INDEX('会費の受け取り'!$E$10:$E$57,11)&amp;""&lt;&gt;"",INDEX('会費の受け取り'!$E$10:$E$57,11)&amp;"",'会費の受け取り'!$B$6&amp;""))</f>
      </c>
      <c r="G115" s="35"/>
      <c r="H115" s="35"/>
      <c r="I115" s="35"/>
      <c r="J115" s="35"/>
      <c r="K115" s="35"/>
      <c r="L115" s="35"/>
    </row>
    <row r="116" ht="22" customHeight="1" spans="1:12" x14ac:dyDescent="0.25">
      <c r="A116" s="26" t="s">
        <v>33</v>
      </c>
      <c r="B116" s="29">
        <f>IF(INDEX('会費の受け取り'!$G$10:$G$57,11)&amp;""&lt;&gt;"",INDEX('会費の受け取り'!$G$10:$G$57,11)&amp;"",'会費の受け取り'!$B$4&amp;"")</f>
      </c>
      <c r="C116" s="29"/>
      <c r="D116" s="29"/>
      <c r="E116" s="24"/>
      <c r="F116" s="36" t="s">
        <v>52</v>
      </c>
      <c r="G116" s="36"/>
      <c r="H116" s="36"/>
      <c r="I116" s="36"/>
      <c r="J116" s="36"/>
      <c r="K116" s="36"/>
      <c r="L116" s="36"/>
    </row>
    <row r="117" ht="20" customHeight="1" spans="1:5" x14ac:dyDescent="0.25">
      <c r="A117" s="37">
        <f>IF(INDEX('会費の受け取り'!$H$10:$H$57,11)&amp;""="書き損じ","書き損じ","")</f>
      </c>
      <c r="B117" s="37"/>
      <c r="C117" s="37"/>
      <c r="D117" s="37"/>
      <c r="E117" s="24"/>
    </row>
    <row r="118" ht="22" customHeight="1" spans="5:12" x14ac:dyDescent="0.25">
      <c r="E118" s="24"/>
      <c r="H118" s="38">
        <f>IF('会費の受け取り'!$B$3="","",'会費の受け取り'!$B$3)</f>
      </c>
      <c r="I118" s="38"/>
      <c r="J118" s="38"/>
      <c r="K118" s="38"/>
      <c r="L118" s="38"/>
    </row>
    <row r="119" ht="28" customHeight="1" spans="5:12" x14ac:dyDescent="0.25">
      <c r="E119" s="24"/>
      <c r="H119" s="39">
        <f>IF(INDEX('会費の受け取り'!$G$10:$G$57,11)&amp;""&lt;&gt;"",INDEX('会費の受け取り'!$G$10:$G$57,11)&amp;"",'会費の受け取り'!$B$4&amp;"")</f>
      </c>
      <c r="I119" s="39"/>
      <c r="J119" s="39"/>
      <c r="K119" s="39"/>
      <c r="L119" s="40" t="s">
        <v>53</v>
      </c>
    </row>
    <row r="120" ht="10" customHeight="1" spans="5:5" x14ac:dyDescent="0.25">
      <c r="E120" s="24"/>
    </row>
    <row r="121" ht="12" customHeight="1" spans="1:12" x14ac:dyDescent="0.25">
      <c r="A121" s="41"/>
      <c r="B121" s="41"/>
      <c r="C121" s="41"/>
      <c r="D121" s="41"/>
      <c r="E121" s="42"/>
      <c r="F121" s="41"/>
      <c r="G121" s="41"/>
      <c r="H121" s="41"/>
      <c r="I121" s="41"/>
      <c r="J121" s="41"/>
      <c r="K121" s="41"/>
      <c r="L121" s="41"/>
    </row>
    <row r="122" ht="28" customHeight="1" spans="1:12" x14ac:dyDescent="0.25">
      <c r="A122" s="21" t="s">
        <v>46</v>
      </c>
      <c r="C122" s="22" t="s">
        <v>47</v>
      </c>
      <c r="D122" s="23">
        <f>INDEX('会費の受け取り'!$A$10:$A$57,12)&amp;""</f>
      </c>
      <c r="E122" s="24"/>
      <c r="F122" s="25">
        <f>IF(INDEX('会費の受け取り'!$H$10:$H$57,12)&amp;""="書き損じ","書き損じ","領　収　書")</f>
      </c>
      <c r="G122" s="25"/>
      <c r="H122" s="25"/>
      <c r="I122" s="25"/>
      <c r="J122" s="25"/>
      <c r="K122" s="22" t="s">
        <v>47</v>
      </c>
      <c r="L122" s="23">
        <f>INDEX('会費の受け取り'!$A$10:$A$57,12)&amp;""</f>
      </c>
    </row>
    <row r="123" ht="22" customHeight="1" spans="1:12" x14ac:dyDescent="0.25">
      <c r="A123" s="26" t="s">
        <v>48</v>
      </c>
      <c r="B123" s="27">
        <f>IF(INDEX('会費の受け取り'!$F$10:$F$57,12)="","　　年　　月　　日",INDEX('会費の受け取り'!$F$10:$F$57,12))</f>
      </c>
      <c r="C123" s="27"/>
      <c r="D123" s="27"/>
      <c r="E123" s="24"/>
      <c r="J123" s="28">
        <f>IF(INDEX('会費の受け取り'!$F$10:$F$57,12)="","　　年　　月　　日",INDEX('会費の受け取り'!$F$10:$F$57,12))</f>
      </c>
      <c r="K123" s="28"/>
      <c r="L123" s="28"/>
    </row>
    <row r="124" ht="26" customHeight="1" spans="1:11" x14ac:dyDescent="0.25">
      <c r="A124" s="26" t="s">
        <v>29</v>
      </c>
      <c r="B124" s="29">
        <f>INDEX('会費の受け取り'!$C$10:$C$57,12)&amp;""</f>
      </c>
      <c r="C124" s="29"/>
      <c r="D124" s="29"/>
      <c r="E124" s="24"/>
      <c r="F124" s="30">
        <f>INDEX('会費の受け取り'!$C$10:$C$57,12)&amp;""</f>
      </c>
      <c r="G124" s="30"/>
      <c r="H124" s="30"/>
      <c r="I124" s="30"/>
      <c r="J124" s="30"/>
      <c r="K124" s="31" t="s">
        <v>49</v>
      </c>
    </row>
    <row r="125" ht="32" customHeight="1" spans="1:11" x14ac:dyDescent="0.25">
      <c r="A125" s="26" t="s">
        <v>50</v>
      </c>
      <c r="B125" s="32">
        <f>IF(INDEX('会費の受け取り'!$C$10:$C$57,12)="","",IF(INDEX('会費の受け取り'!$D$10:$D$57,12)="",N('会費の受け取り'!$B$5),INDEX('会費の受け取り'!$D$10:$D$57,12)))</f>
      </c>
      <c r="C125" s="32"/>
      <c r="D125" s="32"/>
      <c r="E125" s="24"/>
      <c r="F125" s="23" t="s">
        <v>50</v>
      </c>
      <c r="G125" s="33">
        <f>IF(INDEX('会費の受け取り'!$C$10:$C$57,12)="","",IF(INDEX('会費の受け取り'!$D$10:$D$57,12)="",N('会費の受け取り'!$B$5),INDEX('会費の受け取り'!$D$10:$D$57,12)))</f>
      </c>
      <c r="H125" s="33"/>
      <c r="I125" s="33"/>
      <c r="J125" s="33"/>
      <c r="K125" s="33"/>
    </row>
    <row r="126" ht="38" customHeight="1" spans="1:12" x14ac:dyDescent="0.25">
      <c r="A126" s="26" t="s">
        <v>51</v>
      </c>
      <c r="B126" s="34">
        <f>IF(INDEX('会費の受け取り'!$C$10:$C$57,12)="","",IF(INDEX('会費の受け取り'!$E$10:$E$57,12)&amp;""&lt;&gt;"",INDEX('会費の受け取り'!$E$10:$E$57,12)&amp;"",'会費の受け取り'!$B$6&amp;""))</f>
      </c>
      <c r="C126" s="34"/>
      <c r="D126" s="34"/>
      <c r="E126" s="24"/>
      <c r="F126" s="35">
        <f>"但し "&amp;IF(INDEX('会費の受け取り'!$C$10:$C$57,12)="","",IF(INDEX('会費の受け取り'!$E$10:$E$57,12)&amp;""&lt;&gt;"",INDEX('会費の受け取り'!$E$10:$E$57,12)&amp;"",'会費の受け取り'!$B$6&amp;""))</f>
      </c>
      <c r="G126" s="35"/>
      <c r="H126" s="35"/>
      <c r="I126" s="35"/>
      <c r="J126" s="35"/>
      <c r="K126" s="35"/>
      <c r="L126" s="35"/>
    </row>
    <row r="127" ht="22" customHeight="1" spans="1:12" x14ac:dyDescent="0.25">
      <c r="A127" s="26" t="s">
        <v>33</v>
      </c>
      <c r="B127" s="29">
        <f>IF(INDEX('会費の受け取り'!$G$10:$G$57,12)&amp;""&lt;&gt;"",INDEX('会費の受け取り'!$G$10:$G$57,12)&amp;"",'会費の受け取り'!$B$4&amp;"")</f>
      </c>
      <c r="C127" s="29"/>
      <c r="D127" s="29"/>
      <c r="E127" s="24"/>
      <c r="F127" s="36" t="s">
        <v>52</v>
      </c>
      <c r="G127" s="36"/>
      <c r="H127" s="36"/>
      <c r="I127" s="36"/>
      <c r="J127" s="36"/>
      <c r="K127" s="36"/>
      <c r="L127" s="36"/>
    </row>
    <row r="128" ht="20" customHeight="1" spans="1:5" x14ac:dyDescent="0.25">
      <c r="A128" s="37">
        <f>IF(INDEX('会費の受け取り'!$H$10:$H$57,12)&amp;""="書き損じ","書き損じ","")</f>
      </c>
      <c r="B128" s="37"/>
      <c r="C128" s="37"/>
      <c r="D128" s="37"/>
      <c r="E128" s="24"/>
    </row>
    <row r="129" ht="22" customHeight="1" spans="5:12" x14ac:dyDescent="0.25">
      <c r="E129" s="24"/>
      <c r="H129" s="38">
        <f>IF('会費の受け取り'!$B$3="","",'会費の受け取り'!$B$3)</f>
      </c>
      <c r="I129" s="38"/>
      <c r="J129" s="38"/>
      <c r="K129" s="38"/>
      <c r="L129" s="38"/>
    </row>
    <row r="130" ht="28" customHeight="1" spans="5:12" x14ac:dyDescent="0.25">
      <c r="E130" s="24"/>
      <c r="H130" s="39">
        <f>IF(INDEX('会費の受け取り'!$G$10:$G$57,12)&amp;""&lt;&gt;"",INDEX('会費の受け取り'!$G$10:$G$57,12)&amp;"",'会費の受け取り'!$B$4&amp;"")</f>
      </c>
      <c r="I130" s="39"/>
      <c r="J130" s="39"/>
      <c r="K130" s="39"/>
      <c r="L130" s="40" t="s">
        <v>53</v>
      </c>
    </row>
    <row r="131" ht="10" customHeight="1" spans="5:5" x14ac:dyDescent="0.25">
      <c r="E131" s="24"/>
    </row>
    <row r="132" ht="12" customHeight="1" spans="1:12" x14ac:dyDescent="0.25">
      <c r="A132" s="41"/>
      <c r="B132" s="41"/>
      <c r="C132" s="41"/>
      <c r="D132" s="41"/>
      <c r="E132" s="42"/>
      <c r="F132" s="41"/>
      <c r="G132" s="41"/>
      <c r="H132" s="41"/>
      <c r="I132" s="41"/>
      <c r="J132" s="41"/>
      <c r="K132" s="41"/>
      <c r="L132" s="41"/>
    </row>
    <row r="133" ht="28" customHeight="1" spans="1:12" x14ac:dyDescent="0.25">
      <c r="A133" s="21" t="s">
        <v>46</v>
      </c>
      <c r="C133" s="22" t="s">
        <v>47</v>
      </c>
      <c r="D133" s="23">
        <f>INDEX('会費の受け取り'!$A$10:$A$57,13)&amp;""</f>
      </c>
      <c r="E133" s="24"/>
      <c r="F133" s="25">
        <f>IF(INDEX('会費の受け取り'!$H$10:$H$57,13)&amp;""="書き損じ","書き損じ","領　収　書")</f>
      </c>
      <c r="G133" s="25"/>
      <c r="H133" s="25"/>
      <c r="I133" s="25"/>
      <c r="J133" s="25"/>
      <c r="K133" s="22" t="s">
        <v>47</v>
      </c>
      <c r="L133" s="23">
        <f>INDEX('会費の受け取り'!$A$10:$A$57,13)&amp;""</f>
      </c>
    </row>
    <row r="134" ht="22" customHeight="1" spans="1:12" x14ac:dyDescent="0.25">
      <c r="A134" s="26" t="s">
        <v>48</v>
      </c>
      <c r="B134" s="27">
        <f>IF(INDEX('会費の受け取り'!$F$10:$F$57,13)="","　　年　　月　　日",INDEX('会費の受け取り'!$F$10:$F$57,13))</f>
      </c>
      <c r="C134" s="27"/>
      <c r="D134" s="27"/>
      <c r="E134" s="24"/>
      <c r="J134" s="28">
        <f>IF(INDEX('会費の受け取り'!$F$10:$F$57,13)="","　　年　　月　　日",INDEX('会費の受け取り'!$F$10:$F$57,13))</f>
      </c>
      <c r="K134" s="28"/>
      <c r="L134" s="28"/>
    </row>
    <row r="135" ht="26" customHeight="1" spans="1:11" x14ac:dyDescent="0.25">
      <c r="A135" s="26" t="s">
        <v>29</v>
      </c>
      <c r="B135" s="29">
        <f>INDEX('会費の受け取り'!$C$10:$C$57,13)&amp;""</f>
      </c>
      <c r="C135" s="29"/>
      <c r="D135" s="29"/>
      <c r="E135" s="24"/>
      <c r="F135" s="30">
        <f>INDEX('会費の受け取り'!$C$10:$C$57,13)&amp;""</f>
      </c>
      <c r="G135" s="30"/>
      <c r="H135" s="30"/>
      <c r="I135" s="30"/>
      <c r="J135" s="30"/>
      <c r="K135" s="31" t="s">
        <v>49</v>
      </c>
    </row>
    <row r="136" ht="32" customHeight="1" spans="1:11" x14ac:dyDescent="0.25">
      <c r="A136" s="26" t="s">
        <v>50</v>
      </c>
      <c r="B136" s="32">
        <f>IF(INDEX('会費の受け取り'!$C$10:$C$57,13)="","",IF(INDEX('会費の受け取り'!$D$10:$D$57,13)="",N('会費の受け取り'!$B$5),INDEX('会費の受け取り'!$D$10:$D$57,13)))</f>
      </c>
      <c r="C136" s="32"/>
      <c r="D136" s="32"/>
      <c r="E136" s="24"/>
      <c r="F136" s="23" t="s">
        <v>50</v>
      </c>
      <c r="G136" s="33">
        <f>IF(INDEX('会費の受け取り'!$C$10:$C$57,13)="","",IF(INDEX('会費の受け取り'!$D$10:$D$57,13)="",N('会費の受け取り'!$B$5),INDEX('会費の受け取り'!$D$10:$D$57,13)))</f>
      </c>
      <c r="H136" s="33"/>
      <c r="I136" s="33"/>
      <c r="J136" s="33"/>
      <c r="K136" s="33"/>
    </row>
    <row r="137" ht="38" customHeight="1" spans="1:12" x14ac:dyDescent="0.25">
      <c r="A137" s="26" t="s">
        <v>51</v>
      </c>
      <c r="B137" s="34">
        <f>IF(INDEX('会費の受け取り'!$C$10:$C$57,13)="","",IF(INDEX('会費の受け取り'!$E$10:$E$57,13)&amp;""&lt;&gt;"",INDEX('会費の受け取り'!$E$10:$E$57,13)&amp;"",'会費の受け取り'!$B$6&amp;""))</f>
      </c>
      <c r="C137" s="34"/>
      <c r="D137" s="34"/>
      <c r="E137" s="24"/>
      <c r="F137" s="35">
        <f>"但し "&amp;IF(INDEX('会費の受け取り'!$C$10:$C$57,13)="","",IF(INDEX('会費の受け取り'!$E$10:$E$57,13)&amp;""&lt;&gt;"",INDEX('会費の受け取り'!$E$10:$E$57,13)&amp;"",'会費の受け取り'!$B$6&amp;""))</f>
      </c>
      <c r="G137" s="35"/>
      <c r="H137" s="35"/>
      <c r="I137" s="35"/>
      <c r="J137" s="35"/>
      <c r="K137" s="35"/>
      <c r="L137" s="35"/>
    </row>
    <row r="138" ht="22" customHeight="1" spans="1:12" x14ac:dyDescent="0.25">
      <c r="A138" s="26" t="s">
        <v>33</v>
      </c>
      <c r="B138" s="29">
        <f>IF(INDEX('会費の受け取り'!$G$10:$G$57,13)&amp;""&lt;&gt;"",INDEX('会費の受け取り'!$G$10:$G$57,13)&amp;"",'会費の受け取り'!$B$4&amp;"")</f>
      </c>
      <c r="C138" s="29"/>
      <c r="D138" s="29"/>
      <c r="E138" s="24"/>
      <c r="F138" s="36" t="s">
        <v>52</v>
      </c>
      <c r="G138" s="36"/>
      <c r="H138" s="36"/>
      <c r="I138" s="36"/>
      <c r="J138" s="36"/>
      <c r="K138" s="36"/>
      <c r="L138" s="36"/>
    </row>
    <row r="139" ht="20" customHeight="1" spans="1:5" x14ac:dyDescent="0.25">
      <c r="A139" s="37">
        <f>IF(INDEX('会費の受け取り'!$H$10:$H$57,13)&amp;""="書き損じ","書き損じ","")</f>
      </c>
      <c r="B139" s="37"/>
      <c r="C139" s="37"/>
      <c r="D139" s="37"/>
      <c r="E139" s="24"/>
    </row>
    <row r="140" ht="22" customHeight="1" spans="5:12" x14ac:dyDescent="0.25">
      <c r="E140" s="24"/>
      <c r="H140" s="38">
        <f>IF('会費の受け取り'!$B$3="","",'会費の受け取り'!$B$3)</f>
      </c>
      <c r="I140" s="38"/>
      <c r="J140" s="38"/>
      <c r="K140" s="38"/>
      <c r="L140" s="38"/>
    </row>
    <row r="141" ht="28" customHeight="1" spans="5:12" x14ac:dyDescent="0.25">
      <c r="E141" s="24"/>
      <c r="H141" s="39">
        <f>IF(INDEX('会費の受け取り'!$G$10:$G$57,13)&amp;""&lt;&gt;"",INDEX('会費の受け取り'!$G$10:$G$57,13)&amp;"",'会費の受け取り'!$B$4&amp;"")</f>
      </c>
      <c r="I141" s="39"/>
      <c r="J141" s="39"/>
      <c r="K141" s="39"/>
      <c r="L141" s="40" t="s">
        <v>53</v>
      </c>
    </row>
    <row r="142" ht="10" customHeight="1" spans="5:5" x14ac:dyDescent="0.25">
      <c r="E142" s="24"/>
    </row>
    <row r="143" ht="12" customHeight="1" spans="1:12" x14ac:dyDescent="0.25">
      <c r="A143" s="41"/>
      <c r="B143" s="41"/>
      <c r="C143" s="41"/>
      <c r="D143" s="41"/>
      <c r="E143" s="42"/>
      <c r="F143" s="41"/>
      <c r="G143" s="41"/>
      <c r="H143" s="41"/>
      <c r="I143" s="41"/>
      <c r="J143" s="41"/>
      <c r="K143" s="41"/>
      <c r="L143" s="41"/>
    </row>
    <row r="144" ht="28" customHeight="1" spans="1:12" x14ac:dyDescent="0.25">
      <c r="A144" s="21" t="s">
        <v>46</v>
      </c>
      <c r="C144" s="22" t="s">
        <v>47</v>
      </c>
      <c r="D144" s="23">
        <f>INDEX('会費の受け取り'!$A$10:$A$57,14)&amp;""</f>
      </c>
      <c r="E144" s="24"/>
      <c r="F144" s="25">
        <f>IF(INDEX('会費の受け取り'!$H$10:$H$57,14)&amp;""="書き損じ","書き損じ","領　収　書")</f>
      </c>
      <c r="G144" s="25"/>
      <c r="H144" s="25"/>
      <c r="I144" s="25"/>
      <c r="J144" s="25"/>
      <c r="K144" s="22" t="s">
        <v>47</v>
      </c>
      <c r="L144" s="23">
        <f>INDEX('会費の受け取り'!$A$10:$A$57,14)&amp;""</f>
      </c>
    </row>
    <row r="145" ht="22" customHeight="1" spans="1:12" x14ac:dyDescent="0.25">
      <c r="A145" s="26" t="s">
        <v>48</v>
      </c>
      <c r="B145" s="27">
        <f>IF(INDEX('会費の受け取り'!$F$10:$F$57,14)="","　　年　　月　　日",INDEX('会費の受け取り'!$F$10:$F$57,14))</f>
      </c>
      <c r="C145" s="27"/>
      <c r="D145" s="27"/>
      <c r="E145" s="24"/>
      <c r="J145" s="28">
        <f>IF(INDEX('会費の受け取り'!$F$10:$F$57,14)="","　　年　　月　　日",INDEX('会費の受け取り'!$F$10:$F$57,14))</f>
      </c>
      <c r="K145" s="28"/>
      <c r="L145" s="28"/>
    </row>
    <row r="146" ht="26" customHeight="1" spans="1:11" x14ac:dyDescent="0.25">
      <c r="A146" s="26" t="s">
        <v>29</v>
      </c>
      <c r="B146" s="29">
        <f>INDEX('会費の受け取り'!$C$10:$C$57,14)&amp;""</f>
      </c>
      <c r="C146" s="29"/>
      <c r="D146" s="29"/>
      <c r="E146" s="24"/>
      <c r="F146" s="30">
        <f>INDEX('会費の受け取り'!$C$10:$C$57,14)&amp;""</f>
      </c>
      <c r="G146" s="30"/>
      <c r="H146" s="30"/>
      <c r="I146" s="30"/>
      <c r="J146" s="30"/>
      <c r="K146" s="31" t="s">
        <v>49</v>
      </c>
    </row>
    <row r="147" ht="32" customHeight="1" spans="1:11" x14ac:dyDescent="0.25">
      <c r="A147" s="26" t="s">
        <v>50</v>
      </c>
      <c r="B147" s="32">
        <f>IF(INDEX('会費の受け取り'!$C$10:$C$57,14)="","",IF(INDEX('会費の受け取り'!$D$10:$D$57,14)="",N('会費の受け取り'!$B$5),INDEX('会費の受け取り'!$D$10:$D$57,14)))</f>
      </c>
      <c r="C147" s="32"/>
      <c r="D147" s="32"/>
      <c r="E147" s="24"/>
      <c r="F147" s="23" t="s">
        <v>50</v>
      </c>
      <c r="G147" s="33">
        <f>IF(INDEX('会費の受け取り'!$C$10:$C$57,14)="","",IF(INDEX('会費の受け取り'!$D$10:$D$57,14)="",N('会費の受け取り'!$B$5),INDEX('会費の受け取り'!$D$10:$D$57,14)))</f>
      </c>
      <c r="H147" s="33"/>
      <c r="I147" s="33"/>
      <c r="J147" s="33"/>
      <c r="K147" s="33"/>
    </row>
    <row r="148" ht="38" customHeight="1" spans="1:12" x14ac:dyDescent="0.25">
      <c r="A148" s="26" t="s">
        <v>51</v>
      </c>
      <c r="B148" s="34">
        <f>IF(INDEX('会費の受け取り'!$C$10:$C$57,14)="","",IF(INDEX('会費の受け取り'!$E$10:$E$57,14)&amp;""&lt;&gt;"",INDEX('会費の受け取り'!$E$10:$E$57,14)&amp;"",'会費の受け取り'!$B$6&amp;""))</f>
      </c>
      <c r="C148" s="34"/>
      <c r="D148" s="34"/>
      <c r="E148" s="24"/>
      <c r="F148" s="35">
        <f>"但し "&amp;IF(INDEX('会費の受け取り'!$C$10:$C$57,14)="","",IF(INDEX('会費の受け取り'!$E$10:$E$57,14)&amp;""&lt;&gt;"",INDEX('会費の受け取り'!$E$10:$E$57,14)&amp;"",'会費の受け取り'!$B$6&amp;""))</f>
      </c>
      <c r="G148" s="35"/>
      <c r="H148" s="35"/>
      <c r="I148" s="35"/>
      <c r="J148" s="35"/>
      <c r="K148" s="35"/>
      <c r="L148" s="35"/>
    </row>
    <row r="149" ht="22" customHeight="1" spans="1:12" x14ac:dyDescent="0.25">
      <c r="A149" s="26" t="s">
        <v>33</v>
      </c>
      <c r="B149" s="29">
        <f>IF(INDEX('会費の受け取り'!$G$10:$G$57,14)&amp;""&lt;&gt;"",INDEX('会費の受け取り'!$G$10:$G$57,14)&amp;"",'会費の受け取り'!$B$4&amp;"")</f>
      </c>
      <c r="C149" s="29"/>
      <c r="D149" s="29"/>
      <c r="E149" s="24"/>
      <c r="F149" s="36" t="s">
        <v>52</v>
      </c>
      <c r="G149" s="36"/>
      <c r="H149" s="36"/>
      <c r="I149" s="36"/>
      <c r="J149" s="36"/>
      <c r="K149" s="36"/>
      <c r="L149" s="36"/>
    </row>
    <row r="150" ht="20" customHeight="1" spans="1:5" x14ac:dyDescent="0.25">
      <c r="A150" s="37">
        <f>IF(INDEX('会費の受け取り'!$H$10:$H$57,14)&amp;""="書き損じ","書き損じ","")</f>
      </c>
      <c r="B150" s="37"/>
      <c r="C150" s="37"/>
      <c r="D150" s="37"/>
      <c r="E150" s="24"/>
    </row>
    <row r="151" ht="22" customHeight="1" spans="5:12" x14ac:dyDescent="0.25">
      <c r="E151" s="24"/>
      <c r="H151" s="38">
        <f>IF('会費の受け取り'!$B$3="","",'会費の受け取り'!$B$3)</f>
      </c>
      <c r="I151" s="38"/>
      <c r="J151" s="38"/>
      <c r="K151" s="38"/>
      <c r="L151" s="38"/>
    </row>
    <row r="152" ht="28" customHeight="1" spans="5:12" x14ac:dyDescent="0.25">
      <c r="E152" s="24"/>
      <c r="H152" s="39">
        <f>IF(INDEX('会費の受け取り'!$G$10:$G$57,14)&amp;""&lt;&gt;"",INDEX('会費の受け取り'!$G$10:$G$57,14)&amp;"",'会費の受け取り'!$B$4&amp;"")</f>
      </c>
      <c r="I152" s="39"/>
      <c r="J152" s="39"/>
      <c r="K152" s="39"/>
      <c r="L152" s="40" t="s">
        <v>53</v>
      </c>
    </row>
    <row r="153" ht="10" customHeight="1" spans="5:5" x14ac:dyDescent="0.25">
      <c r="E153" s="24"/>
    </row>
    <row r="154" ht="12" customHeight="1" spans="1:12" x14ac:dyDescent="0.25">
      <c r="A154" s="41"/>
      <c r="B154" s="41"/>
      <c r="C154" s="41"/>
      <c r="D154" s="41"/>
      <c r="E154" s="42"/>
      <c r="F154" s="41"/>
      <c r="G154" s="41"/>
      <c r="H154" s="41"/>
      <c r="I154" s="41"/>
      <c r="J154" s="41"/>
      <c r="K154" s="41"/>
      <c r="L154" s="41"/>
    </row>
    <row r="155" ht="28" customHeight="1" spans="1:12" x14ac:dyDescent="0.25">
      <c r="A155" s="21" t="s">
        <v>46</v>
      </c>
      <c r="C155" s="22" t="s">
        <v>47</v>
      </c>
      <c r="D155" s="23">
        <f>INDEX('会費の受け取り'!$A$10:$A$57,15)&amp;""</f>
      </c>
      <c r="E155" s="24"/>
      <c r="F155" s="25">
        <f>IF(INDEX('会費の受け取り'!$H$10:$H$57,15)&amp;""="書き損じ","書き損じ","領　収　書")</f>
      </c>
      <c r="G155" s="25"/>
      <c r="H155" s="25"/>
      <c r="I155" s="25"/>
      <c r="J155" s="25"/>
      <c r="K155" s="22" t="s">
        <v>47</v>
      </c>
      <c r="L155" s="23">
        <f>INDEX('会費の受け取り'!$A$10:$A$57,15)&amp;""</f>
      </c>
    </row>
    <row r="156" ht="22" customHeight="1" spans="1:12" x14ac:dyDescent="0.25">
      <c r="A156" s="26" t="s">
        <v>48</v>
      </c>
      <c r="B156" s="27">
        <f>IF(INDEX('会費の受け取り'!$F$10:$F$57,15)="","　　年　　月　　日",INDEX('会費の受け取り'!$F$10:$F$57,15))</f>
      </c>
      <c r="C156" s="27"/>
      <c r="D156" s="27"/>
      <c r="E156" s="24"/>
      <c r="J156" s="28">
        <f>IF(INDEX('会費の受け取り'!$F$10:$F$57,15)="","　　年　　月　　日",INDEX('会費の受け取り'!$F$10:$F$57,15))</f>
      </c>
      <c r="K156" s="28"/>
      <c r="L156" s="28"/>
    </row>
    <row r="157" ht="26" customHeight="1" spans="1:11" x14ac:dyDescent="0.25">
      <c r="A157" s="26" t="s">
        <v>29</v>
      </c>
      <c r="B157" s="29">
        <f>INDEX('会費の受け取り'!$C$10:$C$57,15)&amp;""</f>
      </c>
      <c r="C157" s="29"/>
      <c r="D157" s="29"/>
      <c r="E157" s="24"/>
      <c r="F157" s="30">
        <f>INDEX('会費の受け取り'!$C$10:$C$57,15)&amp;""</f>
      </c>
      <c r="G157" s="30"/>
      <c r="H157" s="30"/>
      <c r="I157" s="30"/>
      <c r="J157" s="30"/>
      <c r="K157" s="31" t="s">
        <v>49</v>
      </c>
    </row>
    <row r="158" ht="32" customHeight="1" spans="1:11" x14ac:dyDescent="0.25">
      <c r="A158" s="26" t="s">
        <v>50</v>
      </c>
      <c r="B158" s="32">
        <f>IF(INDEX('会費の受け取り'!$C$10:$C$57,15)="","",IF(INDEX('会費の受け取り'!$D$10:$D$57,15)="",N('会費の受け取り'!$B$5),INDEX('会費の受け取り'!$D$10:$D$57,15)))</f>
      </c>
      <c r="C158" s="32"/>
      <c r="D158" s="32"/>
      <c r="E158" s="24"/>
      <c r="F158" s="23" t="s">
        <v>50</v>
      </c>
      <c r="G158" s="33">
        <f>IF(INDEX('会費の受け取り'!$C$10:$C$57,15)="","",IF(INDEX('会費の受け取り'!$D$10:$D$57,15)="",N('会費の受け取り'!$B$5),INDEX('会費の受け取り'!$D$10:$D$57,15)))</f>
      </c>
      <c r="H158" s="33"/>
      <c r="I158" s="33"/>
      <c r="J158" s="33"/>
      <c r="K158" s="33"/>
    </row>
    <row r="159" ht="38" customHeight="1" spans="1:12" x14ac:dyDescent="0.25">
      <c r="A159" s="26" t="s">
        <v>51</v>
      </c>
      <c r="B159" s="34">
        <f>IF(INDEX('会費の受け取り'!$C$10:$C$57,15)="","",IF(INDEX('会費の受け取り'!$E$10:$E$57,15)&amp;""&lt;&gt;"",INDEX('会費の受け取り'!$E$10:$E$57,15)&amp;"",'会費の受け取り'!$B$6&amp;""))</f>
      </c>
      <c r="C159" s="34"/>
      <c r="D159" s="34"/>
      <c r="E159" s="24"/>
      <c r="F159" s="35">
        <f>"但し "&amp;IF(INDEX('会費の受け取り'!$C$10:$C$57,15)="","",IF(INDEX('会費の受け取り'!$E$10:$E$57,15)&amp;""&lt;&gt;"",INDEX('会費の受け取り'!$E$10:$E$57,15)&amp;"",'会費の受け取り'!$B$6&amp;""))</f>
      </c>
      <c r="G159" s="35"/>
      <c r="H159" s="35"/>
      <c r="I159" s="35"/>
      <c r="J159" s="35"/>
      <c r="K159" s="35"/>
      <c r="L159" s="35"/>
    </row>
    <row r="160" ht="22" customHeight="1" spans="1:12" x14ac:dyDescent="0.25">
      <c r="A160" s="26" t="s">
        <v>33</v>
      </c>
      <c r="B160" s="29">
        <f>IF(INDEX('会費の受け取り'!$G$10:$G$57,15)&amp;""&lt;&gt;"",INDEX('会費の受け取り'!$G$10:$G$57,15)&amp;"",'会費の受け取り'!$B$4&amp;"")</f>
      </c>
      <c r="C160" s="29"/>
      <c r="D160" s="29"/>
      <c r="E160" s="24"/>
      <c r="F160" s="36" t="s">
        <v>52</v>
      </c>
      <c r="G160" s="36"/>
      <c r="H160" s="36"/>
      <c r="I160" s="36"/>
      <c r="J160" s="36"/>
      <c r="K160" s="36"/>
      <c r="L160" s="36"/>
    </row>
    <row r="161" ht="20" customHeight="1" spans="1:5" x14ac:dyDescent="0.25">
      <c r="A161" s="37">
        <f>IF(INDEX('会費の受け取り'!$H$10:$H$57,15)&amp;""="書き損じ","書き損じ","")</f>
      </c>
      <c r="B161" s="37"/>
      <c r="C161" s="37"/>
      <c r="D161" s="37"/>
      <c r="E161" s="24"/>
    </row>
    <row r="162" ht="22" customHeight="1" spans="5:12" x14ac:dyDescent="0.25">
      <c r="E162" s="24"/>
      <c r="H162" s="38">
        <f>IF('会費の受け取り'!$B$3="","",'会費の受け取り'!$B$3)</f>
      </c>
      <c r="I162" s="38"/>
      <c r="J162" s="38"/>
      <c r="K162" s="38"/>
      <c r="L162" s="38"/>
    </row>
    <row r="163" ht="28" customHeight="1" spans="5:12" x14ac:dyDescent="0.25">
      <c r="E163" s="24"/>
      <c r="H163" s="39">
        <f>IF(INDEX('会費の受け取り'!$G$10:$G$57,15)&amp;""&lt;&gt;"",INDEX('会費の受け取り'!$G$10:$G$57,15)&amp;"",'会費の受け取り'!$B$4&amp;"")</f>
      </c>
      <c r="I163" s="39"/>
      <c r="J163" s="39"/>
      <c r="K163" s="39"/>
      <c r="L163" s="40" t="s">
        <v>53</v>
      </c>
    </row>
    <row r="164" ht="10" customHeight="1" spans="5:5" x14ac:dyDescent="0.25">
      <c r="E164" s="24"/>
    </row>
    <row r="165" ht="12" customHeight="1" spans="1:12" x14ac:dyDescent="0.25">
      <c r="A165" s="41"/>
      <c r="B165" s="41"/>
      <c r="C165" s="41"/>
      <c r="D165" s="41"/>
      <c r="E165" s="42"/>
      <c r="F165" s="41"/>
      <c r="G165" s="41"/>
      <c r="H165" s="41"/>
      <c r="I165" s="41"/>
      <c r="J165" s="41"/>
      <c r="K165" s="41"/>
      <c r="L165" s="41"/>
    </row>
    <row r="166" ht="28" customHeight="1" spans="1:12" x14ac:dyDescent="0.25">
      <c r="A166" s="21" t="s">
        <v>46</v>
      </c>
      <c r="C166" s="22" t="s">
        <v>47</v>
      </c>
      <c r="D166" s="23">
        <f>INDEX('会費の受け取り'!$A$10:$A$57,16)&amp;""</f>
      </c>
      <c r="E166" s="24"/>
      <c r="F166" s="25">
        <f>IF(INDEX('会費の受け取り'!$H$10:$H$57,16)&amp;""="書き損じ","書き損じ","領　収　書")</f>
      </c>
      <c r="G166" s="25"/>
      <c r="H166" s="25"/>
      <c r="I166" s="25"/>
      <c r="J166" s="25"/>
      <c r="K166" s="22" t="s">
        <v>47</v>
      </c>
      <c r="L166" s="23">
        <f>INDEX('会費の受け取り'!$A$10:$A$57,16)&amp;""</f>
      </c>
    </row>
    <row r="167" ht="22" customHeight="1" spans="1:12" x14ac:dyDescent="0.25">
      <c r="A167" s="26" t="s">
        <v>48</v>
      </c>
      <c r="B167" s="27">
        <f>IF(INDEX('会費の受け取り'!$F$10:$F$57,16)="","　　年　　月　　日",INDEX('会費の受け取り'!$F$10:$F$57,16))</f>
      </c>
      <c r="C167" s="27"/>
      <c r="D167" s="27"/>
      <c r="E167" s="24"/>
      <c r="J167" s="28">
        <f>IF(INDEX('会費の受け取り'!$F$10:$F$57,16)="","　　年　　月　　日",INDEX('会費の受け取り'!$F$10:$F$57,16))</f>
      </c>
      <c r="K167" s="28"/>
      <c r="L167" s="28"/>
    </row>
    <row r="168" ht="26" customHeight="1" spans="1:11" x14ac:dyDescent="0.25">
      <c r="A168" s="26" t="s">
        <v>29</v>
      </c>
      <c r="B168" s="29">
        <f>INDEX('会費の受け取り'!$C$10:$C$57,16)&amp;""</f>
      </c>
      <c r="C168" s="29"/>
      <c r="D168" s="29"/>
      <c r="E168" s="24"/>
      <c r="F168" s="30">
        <f>INDEX('会費の受け取り'!$C$10:$C$57,16)&amp;""</f>
      </c>
      <c r="G168" s="30"/>
      <c r="H168" s="30"/>
      <c r="I168" s="30"/>
      <c r="J168" s="30"/>
      <c r="K168" s="31" t="s">
        <v>49</v>
      </c>
    </row>
    <row r="169" ht="32" customHeight="1" spans="1:11" x14ac:dyDescent="0.25">
      <c r="A169" s="26" t="s">
        <v>50</v>
      </c>
      <c r="B169" s="32">
        <f>IF(INDEX('会費の受け取り'!$C$10:$C$57,16)="","",IF(INDEX('会費の受け取り'!$D$10:$D$57,16)="",N('会費の受け取り'!$B$5),INDEX('会費の受け取り'!$D$10:$D$57,16)))</f>
      </c>
      <c r="C169" s="32"/>
      <c r="D169" s="32"/>
      <c r="E169" s="24"/>
      <c r="F169" s="23" t="s">
        <v>50</v>
      </c>
      <c r="G169" s="33">
        <f>IF(INDEX('会費の受け取り'!$C$10:$C$57,16)="","",IF(INDEX('会費の受け取り'!$D$10:$D$57,16)="",N('会費の受け取り'!$B$5),INDEX('会費の受け取り'!$D$10:$D$57,16)))</f>
      </c>
      <c r="H169" s="33"/>
      <c r="I169" s="33"/>
      <c r="J169" s="33"/>
      <c r="K169" s="33"/>
    </row>
    <row r="170" ht="38" customHeight="1" spans="1:12" x14ac:dyDescent="0.25">
      <c r="A170" s="26" t="s">
        <v>51</v>
      </c>
      <c r="B170" s="34">
        <f>IF(INDEX('会費の受け取り'!$C$10:$C$57,16)="","",IF(INDEX('会費の受け取り'!$E$10:$E$57,16)&amp;""&lt;&gt;"",INDEX('会費の受け取り'!$E$10:$E$57,16)&amp;"",'会費の受け取り'!$B$6&amp;""))</f>
      </c>
      <c r="C170" s="34"/>
      <c r="D170" s="34"/>
      <c r="E170" s="24"/>
      <c r="F170" s="35">
        <f>"但し "&amp;IF(INDEX('会費の受け取り'!$C$10:$C$57,16)="","",IF(INDEX('会費の受け取り'!$E$10:$E$57,16)&amp;""&lt;&gt;"",INDEX('会費の受け取り'!$E$10:$E$57,16)&amp;"",'会費の受け取り'!$B$6&amp;""))</f>
      </c>
      <c r="G170" s="35"/>
      <c r="H170" s="35"/>
      <c r="I170" s="35"/>
      <c r="J170" s="35"/>
      <c r="K170" s="35"/>
      <c r="L170" s="35"/>
    </row>
    <row r="171" ht="22" customHeight="1" spans="1:12" x14ac:dyDescent="0.25">
      <c r="A171" s="26" t="s">
        <v>33</v>
      </c>
      <c r="B171" s="29">
        <f>IF(INDEX('会費の受け取り'!$G$10:$G$57,16)&amp;""&lt;&gt;"",INDEX('会費の受け取り'!$G$10:$G$57,16)&amp;"",'会費の受け取り'!$B$4&amp;"")</f>
      </c>
      <c r="C171" s="29"/>
      <c r="D171" s="29"/>
      <c r="E171" s="24"/>
      <c r="F171" s="36" t="s">
        <v>52</v>
      </c>
      <c r="G171" s="36"/>
      <c r="H171" s="36"/>
      <c r="I171" s="36"/>
      <c r="J171" s="36"/>
      <c r="K171" s="36"/>
      <c r="L171" s="36"/>
    </row>
    <row r="172" ht="20" customHeight="1" spans="1:5" x14ac:dyDescent="0.25">
      <c r="A172" s="37">
        <f>IF(INDEX('会費の受け取り'!$H$10:$H$57,16)&amp;""="書き損じ","書き損じ","")</f>
      </c>
      <c r="B172" s="37"/>
      <c r="C172" s="37"/>
      <c r="D172" s="37"/>
      <c r="E172" s="24"/>
    </row>
    <row r="173" ht="22" customHeight="1" spans="5:12" x14ac:dyDescent="0.25">
      <c r="E173" s="24"/>
      <c r="H173" s="38">
        <f>IF('会費の受け取り'!$B$3="","",'会費の受け取り'!$B$3)</f>
      </c>
      <c r="I173" s="38"/>
      <c r="J173" s="38"/>
      <c r="K173" s="38"/>
      <c r="L173" s="38"/>
    </row>
    <row r="174" ht="28" customHeight="1" spans="5:12" x14ac:dyDescent="0.25">
      <c r="E174" s="24"/>
      <c r="H174" s="39">
        <f>IF(INDEX('会費の受け取り'!$G$10:$G$57,16)&amp;""&lt;&gt;"",INDEX('会費の受け取り'!$G$10:$G$57,16)&amp;"",'会費の受け取り'!$B$4&amp;"")</f>
      </c>
      <c r="I174" s="39"/>
      <c r="J174" s="39"/>
      <c r="K174" s="39"/>
      <c r="L174" s="40" t="s">
        <v>53</v>
      </c>
    </row>
    <row r="175" ht="10" customHeight="1" spans="5:5" x14ac:dyDescent="0.25">
      <c r="E175" s="24"/>
    </row>
    <row r="176" ht="12" customHeight="1" spans="1:12" x14ac:dyDescent="0.25">
      <c r="A176" s="41"/>
      <c r="B176" s="41"/>
      <c r="C176" s="41"/>
      <c r="D176" s="41"/>
      <c r="E176" s="42"/>
      <c r="F176" s="41"/>
      <c r="G176" s="41"/>
      <c r="H176" s="41"/>
      <c r="I176" s="41"/>
      <c r="J176" s="41"/>
      <c r="K176" s="41"/>
      <c r="L176" s="41"/>
    </row>
    <row r="177" ht="28" customHeight="1" spans="1:12" x14ac:dyDescent="0.25">
      <c r="A177" s="21" t="s">
        <v>46</v>
      </c>
      <c r="C177" s="22" t="s">
        <v>47</v>
      </c>
      <c r="D177" s="23">
        <f>INDEX('会費の受け取り'!$A$10:$A$57,17)&amp;""</f>
      </c>
      <c r="E177" s="24"/>
      <c r="F177" s="25">
        <f>IF(INDEX('会費の受け取り'!$H$10:$H$57,17)&amp;""="書き損じ","書き損じ","領　収　書")</f>
      </c>
      <c r="G177" s="25"/>
      <c r="H177" s="25"/>
      <c r="I177" s="25"/>
      <c r="J177" s="25"/>
      <c r="K177" s="22" t="s">
        <v>47</v>
      </c>
      <c r="L177" s="23">
        <f>INDEX('会費の受け取り'!$A$10:$A$57,17)&amp;""</f>
      </c>
    </row>
    <row r="178" ht="22" customHeight="1" spans="1:12" x14ac:dyDescent="0.25">
      <c r="A178" s="26" t="s">
        <v>48</v>
      </c>
      <c r="B178" s="27">
        <f>IF(INDEX('会費の受け取り'!$F$10:$F$57,17)="","　　年　　月　　日",INDEX('会費の受け取り'!$F$10:$F$57,17))</f>
      </c>
      <c r="C178" s="27"/>
      <c r="D178" s="27"/>
      <c r="E178" s="24"/>
      <c r="J178" s="28">
        <f>IF(INDEX('会費の受け取り'!$F$10:$F$57,17)="","　　年　　月　　日",INDEX('会費の受け取り'!$F$10:$F$57,17))</f>
      </c>
      <c r="K178" s="28"/>
      <c r="L178" s="28"/>
    </row>
    <row r="179" ht="26" customHeight="1" spans="1:11" x14ac:dyDescent="0.25">
      <c r="A179" s="26" t="s">
        <v>29</v>
      </c>
      <c r="B179" s="29">
        <f>INDEX('会費の受け取り'!$C$10:$C$57,17)&amp;""</f>
      </c>
      <c r="C179" s="29"/>
      <c r="D179" s="29"/>
      <c r="E179" s="24"/>
      <c r="F179" s="30">
        <f>INDEX('会費の受け取り'!$C$10:$C$57,17)&amp;""</f>
      </c>
      <c r="G179" s="30"/>
      <c r="H179" s="30"/>
      <c r="I179" s="30"/>
      <c r="J179" s="30"/>
      <c r="K179" s="31" t="s">
        <v>49</v>
      </c>
    </row>
    <row r="180" ht="32" customHeight="1" spans="1:11" x14ac:dyDescent="0.25">
      <c r="A180" s="26" t="s">
        <v>50</v>
      </c>
      <c r="B180" s="32">
        <f>IF(INDEX('会費の受け取り'!$C$10:$C$57,17)="","",IF(INDEX('会費の受け取り'!$D$10:$D$57,17)="",N('会費の受け取り'!$B$5),INDEX('会費の受け取り'!$D$10:$D$57,17)))</f>
      </c>
      <c r="C180" s="32"/>
      <c r="D180" s="32"/>
      <c r="E180" s="24"/>
      <c r="F180" s="23" t="s">
        <v>50</v>
      </c>
      <c r="G180" s="33">
        <f>IF(INDEX('会費の受け取り'!$C$10:$C$57,17)="","",IF(INDEX('会費の受け取り'!$D$10:$D$57,17)="",N('会費の受け取り'!$B$5),INDEX('会費の受け取り'!$D$10:$D$57,17)))</f>
      </c>
      <c r="H180" s="33"/>
      <c r="I180" s="33"/>
      <c r="J180" s="33"/>
      <c r="K180" s="33"/>
    </row>
    <row r="181" ht="38" customHeight="1" spans="1:12" x14ac:dyDescent="0.25">
      <c r="A181" s="26" t="s">
        <v>51</v>
      </c>
      <c r="B181" s="34">
        <f>IF(INDEX('会費の受け取り'!$C$10:$C$57,17)="","",IF(INDEX('会費の受け取り'!$E$10:$E$57,17)&amp;""&lt;&gt;"",INDEX('会費の受け取り'!$E$10:$E$57,17)&amp;"",'会費の受け取り'!$B$6&amp;""))</f>
      </c>
      <c r="C181" s="34"/>
      <c r="D181" s="34"/>
      <c r="E181" s="24"/>
      <c r="F181" s="35">
        <f>"但し "&amp;IF(INDEX('会費の受け取り'!$C$10:$C$57,17)="","",IF(INDEX('会費の受け取り'!$E$10:$E$57,17)&amp;""&lt;&gt;"",INDEX('会費の受け取り'!$E$10:$E$57,17)&amp;"",'会費の受け取り'!$B$6&amp;""))</f>
      </c>
      <c r="G181" s="35"/>
      <c r="H181" s="35"/>
      <c r="I181" s="35"/>
      <c r="J181" s="35"/>
      <c r="K181" s="35"/>
      <c r="L181" s="35"/>
    </row>
    <row r="182" ht="22" customHeight="1" spans="1:12" x14ac:dyDescent="0.25">
      <c r="A182" s="26" t="s">
        <v>33</v>
      </c>
      <c r="B182" s="29">
        <f>IF(INDEX('会費の受け取り'!$G$10:$G$57,17)&amp;""&lt;&gt;"",INDEX('会費の受け取り'!$G$10:$G$57,17)&amp;"",'会費の受け取り'!$B$4&amp;"")</f>
      </c>
      <c r="C182" s="29"/>
      <c r="D182" s="29"/>
      <c r="E182" s="24"/>
      <c r="F182" s="36" t="s">
        <v>52</v>
      </c>
      <c r="G182" s="36"/>
      <c r="H182" s="36"/>
      <c r="I182" s="36"/>
      <c r="J182" s="36"/>
      <c r="K182" s="36"/>
      <c r="L182" s="36"/>
    </row>
    <row r="183" ht="20" customHeight="1" spans="1:5" x14ac:dyDescent="0.25">
      <c r="A183" s="37">
        <f>IF(INDEX('会費の受け取り'!$H$10:$H$57,17)&amp;""="書き損じ","書き損じ","")</f>
      </c>
      <c r="B183" s="37"/>
      <c r="C183" s="37"/>
      <c r="D183" s="37"/>
      <c r="E183" s="24"/>
    </row>
    <row r="184" ht="22" customHeight="1" spans="5:12" x14ac:dyDescent="0.25">
      <c r="E184" s="24"/>
      <c r="H184" s="38">
        <f>IF('会費の受け取り'!$B$3="","",'会費の受け取り'!$B$3)</f>
      </c>
      <c r="I184" s="38"/>
      <c r="J184" s="38"/>
      <c r="K184" s="38"/>
      <c r="L184" s="38"/>
    </row>
    <row r="185" ht="28" customHeight="1" spans="5:12" x14ac:dyDescent="0.25">
      <c r="E185" s="24"/>
      <c r="H185" s="39">
        <f>IF(INDEX('会費の受け取り'!$G$10:$G$57,17)&amp;""&lt;&gt;"",INDEX('会費の受け取り'!$G$10:$G$57,17)&amp;"",'会費の受け取り'!$B$4&amp;"")</f>
      </c>
      <c r="I185" s="39"/>
      <c r="J185" s="39"/>
      <c r="K185" s="39"/>
      <c r="L185" s="40" t="s">
        <v>53</v>
      </c>
    </row>
    <row r="186" ht="10" customHeight="1" spans="5:5" x14ac:dyDescent="0.25">
      <c r="E186" s="24"/>
    </row>
    <row r="187" ht="12" customHeight="1" spans="1:12" x14ac:dyDescent="0.25">
      <c r="A187" s="41"/>
      <c r="B187" s="41"/>
      <c r="C187" s="41"/>
      <c r="D187" s="41"/>
      <c r="E187" s="42"/>
      <c r="F187" s="41"/>
      <c r="G187" s="41"/>
      <c r="H187" s="41"/>
      <c r="I187" s="41"/>
      <c r="J187" s="41"/>
      <c r="K187" s="41"/>
      <c r="L187" s="41"/>
    </row>
    <row r="188" ht="28" customHeight="1" spans="1:12" x14ac:dyDescent="0.25">
      <c r="A188" s="21" t="s">
        <v>46</v>
      </c>
      <c r="C188" s="22" t="s">
        <v>47</v>
      </c>
      <c r="D188" s="23">
        <f>INDEX('会費の受け取り'!$A$10:$A$57,18)&amp;""</f>
      </c>
      <c r="E188" s="24"/>
      <c r="F188" s="25">
        <f>IF(INDEX('会費の受け取り'!$H$10:$H$57,18)&amp;""="書き損じ","書き損じ","領　収　書")</f>
      </c>
      <c r="G188" s="25"/>
      <c r="H188" s="25"/>
      <c r="I188" s="25"/>
      <c r="J188" s="25"/>
      <c r="K188" s="22" t="s">
        <v>47</v>
      </c>
      <c r="L188" s="23">
        <f>INDEX('会費の受け取り'!$A$10:$A$57,18)&amp;""</f>
      </c>
    </row>
    <row r="189" ht="22" customHeight="1" spans="1:12" x14ac:dyDescent="0.25">
      <c r="A189" s="26" t="s">
        <v>48</v>
      </c>
      <c r="B189" s="27">
        <f>IF(INDEX('会費の受け取り'!$F$10:$F$57,18)="","　　年　　月　　日",INDEX('会費の受け取り'!$F$10:$F$57,18))</f>
      </c>
      <c r="C189" s="27"/>
      <c r="D189" s="27"/>
      <c r="E189" s="24"/>
      <c r="J189" s="28">
        <f>IF(INDEX('会費の受け取り'!$F$10:$F$57,18)="","　　年　　月　　日",INDEX('会費の受け取り'!$F$10:$F$57,18))</f>
      </c>
      <c r="K189" s="28"/>
      <c r="L189" s="28"/>
    </row>
    <row r="190" ht="26" customHeight="1" spans="1:11" x14ac:dyDescent="0.25">
      <c r="A190" s="26" t="s">
        <v>29</v>
      </c>
      <c r="B190" s="29">
        <f>INDEX('会費の受け取り'!$C$10:$C$57,18)&amp;""</f>
      </c>
      <c r="C190" s="29"/>
      <c r="D190" s="29"/>
      <c r="E190" s="24"/>
      <c r="F190" s="30">
        <f>INDEX('会費の受け取り'!$C$10:$C$57,18)&amp;""</f>
      </c>
      <c r="G190" s="30"/>
      <c r="H190" s="30"/>
      <c r="I190" s="30"/>
      <c r="J190" s="30"/>
      <c r="K190" s="31" t="s">
        <v>49</v>
      </c>
    </row>
    <row r="191" ht="32" customHeight="1" spans="1:11" x14ac:dyDescent="0.25">
      <c r="A191" s="26" t="s">
        <v>50</v>
      </c>
      <c r="B191" s="32">
        <f>IF(INDEX('会費の受け取り'!$C$10:$C$57,18)="","",IF(INDEX('会費の受け取り'!$D$10:$D$57,18)="",N('会費の受け取り'!$B$5),INDEX('会費の受け取り'!$D$10:$D$57,18)))</f>
      </c>
      <c r="C191" s="32"/>
      <c r="D191" s="32"/>
      <c r="E191" s="24"/>
      <c r="F191" s="23" t="s">
        <v>50</v>
      </c>
      <c r="G191" s="33">
        <f>IF(INDEX('会費の受け取り'!$C$10:$C$57,18)="","",IF(INDEX('会費の受け取り'!$D$10:$D$57,18)="",N('会費の受け取り'!$B$5),INDEX('会費の受け取り'!$D$10:$D$57,18)))</f>
      </c>
      <c r="H191" s="33"/>
      <c r="I191" s="33"/>
      <c r="J191" s="33"/>
      <c r="K191" s="33"/>
    </row>
    <row r="192" ht="38" customHeight="1" spans="1:12" x14ac:dyDescent="0.25">
      <c r="A192" s="26" t="s">
        <v>51</v>
      </c>
      <c r="B192" s="34">
        <f>IF(INDEX('会費の受け取り'!$C$10:$C$57,18)="","",IF(INDEX('会費の受け取り'!$E$10:$E$57,18)&amp;""&lt;&gt;"",INDEX('会費の受け取り'!$E$10:$E$57,18)&amp;"",'会費の受け取り'!$B$6&amp;""))</f>
      </c>
      <c r="C192" s="34"/>
      <c r="D192" s="34"/>
      <c r="E192" s="24"/>
      <c r="F192" s="35">
        <f>"但し "&amp;IF(INDEX('会費の受け取り'!$C$10:$C$57,18)="","",IF(INDEX('会費の受け取り'!$E$10:$E$57,18)&amp;""&lt;&gt;"",INDEX('会費の受け取り'!$E$10:$E$57,18)&amp;"",'会費の受け取り'!$B$6&amp;""))</f>
      </c>
      <c r="G192" s="35"/>
      <c r="H192" s="35"/>
      <c r="I192" s="35"/>
      <c r="J192" s="35"/>
      <c r="K192" s="35"/>
      <c r="L192" s="35"/>
    </row>
    <row r="193" ht="22" customHeight="1" spans="1:12" x14ac:dyDescent="0.25">
      <c r="A193" s="26" t="s">
        <v>33</v>
      </c>
      <c r="B193" s="29">
        <f>IF(INDEX('会費の受け取り'!$G$10:$G$57,18)&amp;""&lt;&gt;"",INDEX('会費の受け取り'!$G$10:$G$57,18)&amp;"",'会費の受け取り'!$B$4&amp;"")</f>
      </c>
      <c r="C193" s="29"/>
      <c r="D193" s="29"/>
      <c r="E193" s="24"/>
      <c r="F193" s="36" t="s">
        <v>52</v>
      </c>
      <c r="G193" s="36"/>
      <c r="H193" s="36"/>
      <c r="I193" s="36"/>
      <c r="J193" s="36"/>
      <c r="K193" s="36"/>
      <c r="L193" s="36"/>
    </row>
    <row r="194" ht="20" customHeight="1" spans="1:5" x14ac:dyDescent="0.25">
      <c r="A194" s="37">
        <f>IF(INDEX('会費の受け取り'!$H$10:$H$57,18)&amp;""="書き損じ","書き損じ","")</f>
      </c>
      <c r="B194" s="37"/>
      <c r="C194" s="37"/>
      <c r="D194" s="37"/>
      <c r="E194" s="24"/>
    </row>
    <row r="195" ht="22" customHeight="1" spans="5:12" x14ac:dyDescent="0.25">
      <c r="E195" s="24"/>
      <c r="H195" s="38">
        <f>IF('会費の受け取り'!$B$3="","",'会費の受け取り'!$B$3)</f>
      </c>
      <c r="I195" s="38"/>
      <c r="J195" s="38"/>
      <c r="K195" s="38"/>
      <c r="L195" s="38"/>
    </row>
    <row r="196" ht="28" customHeight="1" spans="5:12" x14ac:dyDescent="0.25">
      <c r="E196" s="24"/>
      <c r="H196" s="39">
        <f>IF(INDEX('会費の受け取り'!$G$10:$G$57,18)&amp;""&lt;&gt;"",INDEX('会費の受け取り'!$G$10:$G$57,18)&amp;"",'会費の受け取り'!$B$4&amp;"")</f>
      </c>
      <c r="I196" s="39"/>
      <c r="J196" s="39"/>
      <c r="K196" s="39"/>
      <c r="L196" s="40" t="s">
        <v>53</v>
      </c>
    </row>
    <row r="197" ht="10" customHeight="1" spans="5:5" x14ac:dyDescent="0.25">
      <c r="E197" s="24"/>
    </row>
    <row r="198" ht="12" customHeight="1" spans="1:12" x14ac:dyDescent="0.25">
      <c r="A198" s="41"/>
      <c r="B198" s="41"/>
      <c r="C198" s="41"/>
      <c r="D198" s="41"/>
      <c r="E198" s="42"/>
      <c r="F198" s="41"/>
      <c r="G198" s="41"/>
      <c r="H198" s="41"/>
      <c r="I198" s="41"/>
      <c r="J198" s="41"/>
      <c r="K198" s="41"/>
      <c r="L198" s="41"/>
    </row>
    <row r="199" ht="28" customHeight="1" spans="1:12" x14ac:dyDescent="0.25">
      <c r="A199" s="21" t="s">
        <v>46</v>
      </c>
      <c r="C199" s="22" t="s">
        <v>47</v>
      </c>
      <c r="D199" s="23">
        <f>INDEX('会費の受け取り'!$A$10:$A$57,19)&amp;""</f>
      </c>
      <c r="E199" s="24"/>
      <c r="F199" s="25">
        <f>IF(INDEX('会費の受け取り'!$H$10:$H$57,19)&amp;""="書き損じ","書き損じ","領　収　書")</f>
      </c>
      <c r="G199" s="25"/>
      <c r="H199" s="25"/>
      <c r="I199" s="25"/>
      <c r="J199" s="25"/>
      <c r="K199" s="22" t="s">
        <v>47</v>
      </c>
      <c r="L199" s="23">
        <f>INDEX('会費の受け取り'!$A$10:$A$57,19)&amp;""</f>
      </c>
    </row>
    <row r="200" ht="22" customHeight="1" spans="1:12" x14ac:dyDescent="0.25">
      <c r="A200" s="26" t="s">
        <v>48</v>
      </c>
      <c r="B200" s="27">
        <f>IF(INDEX('会費の受け取り'!$F$10:$F$57,19)="","　　年　　月　　日",INDEX('会費の受け取り'!$F$10:$F$57,19))</f>
      </c>
      <c r="C200" s="27"/>
      <c r="D200" s="27"/>
      <c r="E200" s="24"/>
      <c r="J200" s="28">
        <f>IF(INDEX('会費の受け取り'!$F$10:$F$57,19)="","　　年　　月　　日",INDEX('会費の受け取り'!$F$10:$F$57,19))</f>
      </c>
      <c r="K200" s="28"/>
      <c r="L200" s="28"/>
    </row>
    <row r="201" ht="26" customHeight="1" spans="1:11" x14ac:dyDescent="0.25">
      <c r="A201" s="26" t="s">
        <v>29</v>
      </c>
      <c r="B201" s="29">
        <f>INDEX('会費の受け取り'!$C$10:$C$57,19)&amp;""</f>
      </c>
      <c r="C201" s="29"/>
      <c r="D201" s="29"/>
      <c r="E201" s="24"/>
      <c r="F201" s="30">
        <f>INDEX('会費の受け取り'!$C$10:$C$57,19)&amp;""</f>
      </c>
      <c r="G201" s="30"/>
      <c r="H201" s="30"/>
      <c r="I201" s="30"/>
      <c r="J201" s="30"/>
      <c r="K201" s="31" t="s">
        <v>49</v>
      </c>
    </row>
    <row r="202" ht="32" customHeight="1" spans="1:11" x14ac:dyDescent="0.25">
      <c r="A202" s="26" t="s">
        <v>50</v>
      </c>
      <c r="B202" s="32">
        <f>IF(INDEX('会費の受け取り'!$C$10:$C$57,19)="","",IF(INDEX('会費の受け取り'!$D$10:$D$57,19)="",N('会費の受け取り'!$B$5),INDEX('会費の受け取り'!$D$10:$D$57,19)))</f>
      </c>
      <c r="C202" s="32"/>
      <c r="D202" s="32"/>
      <c r="E202" s="24"/>
      <c r="F202" s="23" t="s">
        <v>50</v>
      </c>
      <c r="G202" s="33">
        <f>IF(INDEX('会費の受け取り'!$C$10:$C$57,19)="","",IF(INDEX('会費の受け取り'!$D$10:$D$57,19)="",N('会費の受け取り'!$B$5),INDEX('会費の受け取り'!$D$10:$D$57,19)))</f>
      </c>
      <c r="H202" s="33"/>
      <c r="I202" s="33"/>
      <c r="J202" s="33"/>
      <c r="K202" s="33"/>
    </row>
    <row r="203" ht="38" customHeight="1" spans="1:12" x14ac:dyDescent="0.25">
      <c r="A203" s="26" t="s">
        <v>51</v>
      </c>
      <c r="B203" s="34">
        <f>IF(INDEX('会費の受け取り'!$C$10:$C$57,19)="","",IF(INDEX('会費の受け取り'!$E$10:$E$57,19)&amp;""&lt;&gt;"",INDEX('会費の受け取り'!$E$10:$E$57,19)&amp;"",'会費の受け取り'!$B$6&amp;""))</f>
      </c>
      <c r="C203" s="34"/>
      <c r="D203" s="34"/>
      <c r="E203" s="24"/>
      <c r="F203" s="35">
        <f>"但し "&amp;IF(INDEX('会費の受け取り'!$C$10:$C$57,19)="","",IF(INDEX('会費の受け取り'!$E$10:$E$57,19)&amp;""&lt;&gt;"",INDEX('会費の受け取り'!$E$10:$E$57,19)&amp;"",'会費の受け取り'!$B$6&amp;""))</f>
      </c>
      <c r="G203" s="35"/>
      <c r="H203" s="35"/>
      <c r="I203" s="35"/>
      <c r="J203" s="35"/>
      <c r="K203" s="35"/>
      <c r="L203" s="35"/>
    </row>
    <row r="204" ht="22" customHeight="1" spans="1:12" x14ac:dyDescent="0.25">
      <c r="A204" s="26" t="s">
        <v>33</v>
      </c>
      <c r="B204" s="29">
        <f>IF(INDEX('会費の受け取り'!$G$10:$G$57,19)&amp;""&lt;&gt;"",INDEX('会費の受け取り'!$G$10:$G$57,19)&amp;"",'会費の受け取り'!$B$4&amp;"")</f>
      </c>
      <c r="C204" s="29"/>
      <c r="D204" s="29"/>
      <c r="E204" s="24"/>
      <c r="F204" s="36" t="s">
        <v>52</v>
      </c>
      <c r="G204" s="36"/>
      <c r="H204" s="36"/>
      <c r="I204" s="36"/>
      <c r="J204" s="36"/>
      <c r="K204" s="36"/>
      <c r="L204" s="36"/>
    </row>
    <row r="205" ht="20" customHeight="1" spans="1:5" x14ac:dyDescent="0.25">
      <c r="A205" s="37">
        <f>IF(INDEX('会費の受け取り'!$H$10:$H$57,19)&amp;""="書き損じ","書き損じ","")</f>
      </c>
      <c r="B205" s="37"/>
      <c r="C205" s="37"/>
      <c r="D205" s="37"/>
      <c r="E205" s="24"/>
    </row>
    <row r="206" ht="22" customHeight="1" spans="5:12" x14ac:dyDescent="0.25">
      <c r="E206" s="24"/>
      <c r="H206" s="38">
        <f>IF('会費の受け取り'!$B$3="","",'会費の受け取り'!$B$3)</f>
      </c>
      <c r="I206" s="38"/>
      <c r="J206" s="38"/>
      <c r="K206" s="38"/>
      <c r="L206" s="38"/>
    </row>
    <row r="207" ht="28" customHeight="1" spans="5:12" x14ac:dyDescent="0.25">
      <c r="E207" s="24"/>
      <c r="H207" s="39">
        <f>IF(INDEX('会費の受け取り'!$G$10:$G$57,19)&amp;""&lt;&gt;"",INDEX('会費の受け取り'!$G$10:$G$57,19)&amp;"",'会費の受け取り'!$B$4&amp;"")</f>
      </c>
      <c r="I207" s="39"/>
      <c r="J207" s="39"/>
      <c r="K207" s="39"/>
      <c r="L207" s="40" t="s">
        <v>53</v>
      </c>
    </row>
    <row r="208" ht="10" customHeight="1" spans="5:5" x14ac:dyDescent="0.25">
      <c r="E208" s="24"/>
    </row>
    <row r="209" ht="12" customHeight="1" spans="1:12" x14ac:dyDescent="0.25">
      <c r="A209" s="41"/>
      <c r="B209" s="41"/>
      <c r="C209" s="41"/>
      <c r="D209" s="41"/>
      <c r="E209" s="42"/>
      <c r="F209" s="41"/>
      <c r="G209" s="41"/>
      <c r="H209" s="41"/>
      <c r="I209" s="41"/>
      <c r="J209" s="41"/>
      <c r="K209" s="41"/>
      <c r="L209" s="41"/>
    </row>
    <row r="210" ht="28" customHeight="1" spans="1:12" x14ac:dyDescent="0.25">
      <c r="A210" s="21" t="s">
        <v>46</v>
      </c>
      <c r="C210" s="22" t="s">
        <v>47</v>
      </c>
      <c r="D210" s="23">
        <f>INDEX('会費の受け取り'!$A$10:$A$57,20)&amp;""</f>
      </c>
      <c r="E210" s="24"/>
      <c r="F210" s="25">
        <f>IF(INDEX('会費の受け取り'!$H$10:$H$57,20)&amp;""="書き損じ","書き損じ","領　収　書")</f>
      </c>
      <c r="G210" s="25"/>
      <c r="H210" s="25"/>
      <c r="I210" s="25"/>
      <c r="J210" s="25"/>
      <c r="K210" s="22" t="s">
        <v>47</v>
      </c>
      <c r="L210" s="23">
        <f>INDEX('会費の受け取り'!$A$10:$A$57,20)&amp;""</f>
      </c>
    </row>
    <row r="211" ht="22" customHeight="1" spans="1:12" x14ac:dyDescent="0.25">
      <c r="A211" s="26" t="s">
        <v>48</v>
      </c>
      <c r="B211" s="27">
        <f>IF(INDEX('会費の受け取り'!$F$10:$F$57,20)="","　　年　　月　　日",INDEX('会費の受け取り'!$F$10:$F$57,20))</f>
      </c>
      <c r="C211" s="27"/>
      <c r="D211" s="27"/>
      <c r="E211" s="24"/>
      <c r="J211" s="28">
        <f>IF(INDEX('会費の受け取り'!$F$10:$F$57,20)="","　　年　　月　　日",INDEX('会費の受け取り'!$F$10:$F$57,20))</f>
      </c>
      <c r="K211" s="28"/>
      <c r="L211" s="28"/>
    </row>
    <row r="212" ht="26" customHeight="1" spans="1:11" x14ac:dyDescent="0.25">
      <c r="A212" s="26" t="s">
        <v>29</v>
      </c>
      <c r="B212" s="29">
        <f>INDEX('会費の受け取り'!$C$10:$C$57,20)&amp;""</f>
      </c>
      <c r="C212" s="29"/>
      <c r="D212" s="29"/>
      <c r="E212" s="24"/>
      <c r="F212" s="30">
        <f>INDEX('会費の受け取り'!$C$10:$C$57,20)&amp;""</f>
      </c>
      <c r="G212" s="30"/>
      <c r="H212" s="30"/>
      <c r="I212" s="30"/>
      <c r="J212" s="30"/>
      <c r="K212" s="31" t="s">
        <v>49</v>
      </c>
    </row>
    <row r="213" ht="32" customHeight="1" spans="1:11" x14ac:dyDescent="0.25">
      <c r="A213" s="26" t="s">
        <v>50</v>
      </c>
      <c r="B213" s="32">
        <f>IF(INDEX('会費の受け取り'!$C$10:$C$57,20)="","",IF(INDEX('会費の受け取り'!$D$10:$D$57,20)="",N('会費の受け取り'!$B$5),INDEX('会費の受け取り'!$D$10:$D$57,20)))</f>
      </c>
      <c r="C213" s="32"/>
      <c r="D213" s="32"/>
      <c r="E213" s="24"/>
      <c r="F213" s="23" t="s">
        <v>50</v>
      </c>
      <c r="G213" s="33">
        <f>IF(INDEX('会費の受け取り'!$C$10:$C$57,20)="","",IF(INDEX('会費の受け取り'!$D$10:$D$57,20)="",N('会費の受け取り'!$B$5),INDEX('会費の受け取り'!$D$10:$D$57,20)))</f>
      </c>
      <c r="H213" s="33"/>
      <c r="I213" s="33"/>
      <c r="J213" s="33"/>
      <c r="K213" s="33"/>
    </row>
    <row r="214" ht="38" customHeight="1" spans="1:12" x14ac:dyDescent="0.25">
      <c r="A214" s="26" t="s">
        <v>51</v>
      </c>
      <c r="B214" s="34">
        <f>IF(INDEX('会費の受け取り'!$C$10:$C$57,20)="","",IF(INDEX('会費の受け取り'!$E$10:$E$57,20)&amp;""&lt;&gt;"",INDEX('会費の受け取り'!$E$10:$E$57,20)&amp;"",'会費の受け取り'!$B$6&amp;""))</f>
      </c>
      <c r="C214" s="34"/>
      <c r="D214" s="34"/>
      <c r="E214" s="24"/>
      <c r="F214" s="35">
        <f>"但し "&amp;IF(INDEX('会費の受け取り'!$C$10:$C$57,20)="","",IF(INDEX('会費の受け取り'!$E$10:$E$57,20)&amp;""&lt;&gt;"",INDEX('会費の受け取り'!$E$10:$E$57,20)&amp;"",'会費の受け取り'!$B$6&amp;""))</f>
      </c>
      <c r="G214" s="35"/>
      <c r="H214" s="35"/>
      <c r="I214" s="35"/>
      <c r="J214" s="35"/>
      <c r="K214" s="35"/>
      <c r="L214" s="35"/>
    </row>
    <row r="215" ht="22" customHeight="1" spans="1:12" x14ac:dyDescent="0.25">
      <c r="A215" s="26" t="s">
        <v>33</v>
      </c>
      <c r="B215" s="29">
        <f>IF(INDEX('会費の受け取り'!$G$10:$G$57,20)&amp;""&lt;&gt;"",INDEX('会費の受け取り'!$G$10:$G$57,20)&amp;"",'会費の受け取り'!$B$4&amp;"")</f>
      </c>
      <c r="C215" s="29"/>
      <c r="D215" s="29"/>
      <c r="E215" s="24"/>
      <c r="F215" s="36" t="s">
        <v>52</v>
      </c>
      <c r="G215" s="36"/>
      <c r="H215" s="36"/>
      <c r="I215" s="36"/>
      <c r="J215" s="36"/>
      <c r="K215" s="36"/>
      <c r="L215" s="36"/>
    </row>
    <row r="216" ht="20" customHeight="1" spans="1:5" x14ac:dyDescent="0.25">
      <c r="A216" s="37">
        <f>IF(INDEX('会費の受け取り'!$H$10:$H$57,20)&amp;""="書き損じ","書き損じ","")</f>
      </c>
      <c r="B216" s="37"/>
      <c r="C216" s="37"/>
      <c r="D216" s="37"/>
      <c r="E216" s="24"/>
    </row>
    <row r="217" ht="22" customHeight="1" spans="5:12" x14ac:dyDescent="0.25">
      <c r="E217" s="24"/>
      <c r="H217" s="38">
        <f>IF('会費の受け取り'!$B$3="","",'会費の受け取り'!$B$3)</f>
      </c>
      <c r="I217" s="38"/>
      <c r="J217" s="38"/>
      <c r="K217" s="38"/>
      <c r="L217" s="38"/>
    </row>
    <row r="218" ht="28" customHeight="1" spans="5:12" x14ac:dyDescent="0.25">
      <c r="E218" s="24"/>
      <c r="H218" s="39">
        <f>IF(INDEX('会費の受け取り'!$G$10:$G$57,20)&amp;""&lt;&gt;"",INDEX('会費の受け取り'!$G$10:$G$57,20)&amp;"",'会費の受け取り'!$B$4&amp;"")</f>
      </c>
      <c r="I218" s="39"/>
      <c r="J218" s="39"/>
      <c r="K218" s="39"/>
      <c r="L218" s="40" t="s">
        <v>53</v>
      </c>
    </row>
    <row r="219" ht="10" customHeight="1" spans="5:5" x14ac:dyDescent="0.25">
      <c r="E219" s="24"/>
    </row>
    <row r="220" ht="12" customHeight="1" spans="1:12" x14ac:dyDescent="0.25">
      <c r="A220" s="41"/>
      <c r="B220" s="41"/>
      <c r="C220" s="41"/>
      <c r="D220" s="41"/>
      <c r="E220" s="42"/>
      <c r="F220" s="41"/>
      <c r="G220" s="41"/>
      <c r="H220" s="41"/>
      <c r="I220" s="41"/>
      <c r="J220" s="41"/>
      <c r="K220" s="41"/>
      <c r="L220" s="41"/>
    </row>
    <row r="221" ht="28" customHeight="1" spans="1:12" x14ac:dyDescent="0.25">
      <c r="A221" s="21" t="s">
        <v>46</v>
      </c>
      <c r="C221" s="22" t="s">
        <v>47</v>
      </c>
      <c r="D221" s="23">
        <f>INDEX('会費の受け取り'!$A$10:$A$57,21)&amp;""</f>
      </c>
      <c r="E221" s="24"/>
      <c r="F221" s="25">
        <f>IF(INDEX('会費の受け取り'!$H$10:$H$57,21)&amp;""="書き損じ","書き損じ","領　収　書")</f>
      </c>
      <c r="G221" s="25"/>
      <c r="H221" s="25"/>
      <c r="I221" s="25"/>
      <c r="J221" s="25"/>
      <c r="K221" s="22" t="s">
        <v>47</v>
      </c>
      <c r="L221" s="23">
        <f>INDEX('会費の受け取り'!$A$10:$A$57,21)&amp;""</f>
      </c>
    </row>
    <row r="222" ht="22" customHeight="1" spans="1:12" x14ac:dyDescent="0.25">
      <c r="A222" s="26" t="s">
        <v>48</v>
      </c>
      <c r="B222" s="27">
        <f>IF(INDEX('会費の受け取り'!$F$10:$F$57,21)="","　　年　　月　　日",INDEX('会費の受け取り'!$F$10:$F$57,21))</f>
      </c>
      <c r="C222" s="27"/>
      <c r="D222" s="27"/>
      <c r="E222" s="24"/>
      <c r="J222" s="28">
        <f>IF(INDEX('会費の受け取り'!$F$10:$F$57,21)="","　　年　　月　　日",INDEX('会費の受け取り'!$F$10:$F$57,21))</f>
      </c>
      <c r="K222" s="28"/>
      <c r="L222" s="28"/>
    </row>
    <row r="223" ht="26" customHeight="1" spans="1:11" x14ac:dyDescent="0.25">
      <c r="A223" s="26" t="s">
        <v>29</v>
      </c>
      <c r="B223" s="29">
        <f>INDEX('会費の受け取り'!$C$10:$C$57,21)&amp;""</f>
      </c>
      <c r="C223" s="29"/>
      <c r="D223" s="29"/>
      <c r="E223" s="24"/>
      <c r="F223" s="30">
        <f>INDEX('会費の受け取り'!$C$10:$C$57,21)&amp;""</f>
      </c>
      <c r="G223" s="30"/>
      <c r="H223" s="30"/>
      <c r="I223" s="30"/>
      <c r="J223" s="30"/>
      <c r="K223" s="31" t="s">
        <v>49</v>
      </c>
    </row>
    <row r="224" ht="32" customHeight="1" spans="1:11" x14ac:dyDescent="0.25">
      <c r="A224" s="26" t="s">
        <v>50</v>
      </c>
      <c r="B224" s="32">
        <f>IF(INDEX('会費の受け取り'!$C$10:$C$57,21)="","",IF(INDEX('会費の受け取り'!$D$10:$D$57,21)="",N('会費の受け取り'!$B$5),INDEX('会費の受け取り'!$D$10:$D$57,21)))</f>
      </c>
      <c r="C224" s="32"/>
      <c r="D224" s="32"/>
      <c r="E224" s="24"/>
      <c r="F224" s="23" t="s">
        <v>50</v>
      </c>
      <c r="G224" s="33">
        <f>IF(INDEX('会費の受け取り'!$C$10:$C$57,21)="","",IF(INDEX('会費の受け取り'!$D$10:$D$57,21)="",N('会費の受け取り'!$B$5),INDEX('会費の受け取り'!$D$10:$D$57,21)))</f>
      </c>
      <c r="H224" s="33"/>
      <c r="I224" s="33"/>
      <c r="J224" s="33"/>
      <c r="K224" s="33"/>
    </row>
    <row r="225" ht="38" customHeight="1" spans="1:12" x14ac:dyDescent="0.25">
      <c r="A225" s="26" t="s">
        <v>51</v>
      </c>
      <c r="B225" s="34">
        <f>IF(INDEX('会費の受け取り'!$C$10:$C$57,21)="","",IF(INDEX('会費の受け取り'!$E$10:$E$57,21)&amp;""&lt;&gt;"",INDEX('会費の受け取り'!$E$10:$E$57,21)&amp;"",'会費の受け取り'!$B$6&amp;""))</f>
      </c>
      <c r="C225" s="34"/>
      <c r="D225" s="34"/>
      <c r="E225" s="24"/>
      <c r="F225" s="35">
        <f>"但し "&amp;IF(INDEX('会費の受け取り'!$C$10:$C$57,21)="","",IF(INDEX('会費の受け取り'!$E$10:$E$57,21)&amp;""&lt;&gt;"",INDEX('会費の受け取り'!$E$10:$E$57,21)&amp;"",'会費の受け取り'!$B$6&amp;""))</f>
      </c>
      <c r="G225" s="35"/>
      <c r="H225" s="35"/>
      <c r="I225" s="35"/>
      <c r="J225" s="35"/>
      <c r="K225" s="35"/>
      <c r="L225" s="35"/>
    </row>
    <row r="226" ht="22" customHeight="1" spans="1:12" x14ac:dyDescent="0.25">
      <c r="A226" s="26" t="s">
        <v>33</v>
      </c>
      <c r="B226" s="29">
        <f>IF(INDEX('会費の受け取り'!$G$10:$G$57,21)&amp;""&lt;&gt;"",INDEX('会費の受け取り'!$G$10:$G$57,21)&amp;"",'会費の受け取り'!$B$4&amp;"")</f>
      </c>
      <c r="C226" s="29"/>
      <c r="D226" s="29"/>
      <c r="E226" s="24"/>
      <c r="F226" s="36" t="s">
        <v>52</v>
      </c>
      <c r="G226" s="36"/>
      <c r="H226" s="36"/>
      <c r="I226" s="36"/>
      <c r="J226" s="36"/>
      <c r="K226" s="36"/>
      <c r="L226" s="36"/>
    </row>
    <row r="227" ht="20" customHeight="1" spans="1:5" x14ac:dyDescent="0.25">
      <c r="A227" s="37">
        <f>IF(INDEX('会費の受け取り'!$H$10:$H$57,21)&amp;""="書き損じ","書き損じ","")</f>
      </c>
      <c r="B227" s="37"/>
      <c r="C227" s="37"/>
      <c r="D227" s="37"/>
      <c r="E227" s="24"/>
    </row>
    <row r="228" ht="22" customHeight="1" spans="5:12" x14ac:dyDescent="0.25">
      <c r="E228" s="24"/>
      <c r="H228" s="38">
        <f>IF('会費の受け取り'!$B$3="","",'会費の受け取り'!$B$3)</f>
      </c>
      <c r="I228" s="38"/>
      <c r="J228" s="38"/>
      <c r="K228" s="38"/>
      <c r="L228" s="38"/>
    </row>
    <row r="229" ht="28" customHeight="1" spans="5:12" x14ac:dyDescent="0.25">
      <c r="E229" s="24"/>
      <c r="H229" s="39">
        <f>IF(INDEX('会費の受け取り'!$G$10:$G$57,21)&amp;""&lt;&gt;"",INDEX('会費の受け取り'!$G$10:$G$57,21)&amp;"",'会費の受け取り'!$B$4&amp;"")</f>
      </c>
      <c r="I229" s="39"/>
      <c r="J229" s="39"/>
      <c r="K229" s="39"/>
      <c r="L229" s="40" t="s">
        <v>53</v>
      </c>
    </row>
    <row r="230" ht="10" customHeight="1" spans="5:5" x14ac:dyDescent="0.25">
      <c r="E230" s="24"/>
    </row>
    <row r="231" ht="12" customHeight="1" spans="1:12" x14ac:dyDescent="0.25">
      <c r="A231" s="41"/>
      <c r="B231" s="41"/>
      <c r="C231" s="41"/>
      <c r="D231" s="41"/>
      <c r="E231" s="42"/>
      <c r="F231" s="41"/>
      <c r="G231" s="41"/>
      <c r="H231" s="41"/>
      <c r="I231" s="41"/>
      <c r="J231" s="41"/>
      <c r="K231" s="41"/>
      <c r="L231" s="41"/>
    </row>
    <row r="232" ht="28" customHeight="1" spans="1:12" x14ac:dyDescent="0.25">
      <c r="A232" s="21" t="s">
        <v>46</v>
      </c>
      <c r="C232" s="22" t="s">
        <v>47</v>
      </c>
      <c r="D232" s="23">
        <f>INDEX('会費の受け取り'!$A$10:$A$57,22)&amp;""</f>
      </c>
      <c r="E232" s="24"/>
      <c r="F232" s="25">
        <f>IF(INDEX('会費の受け取り'!$H$10:$H$57,22)&amp;""="書き損じ","書き損じ","領　収　書")</f>
      </c>
      <c r="G232" s="25"/>
      <c r="H232" s="25"/>
      <c r="I232" s="25"/>
      <c r="J232" s="25"/>
      <c r="K232" s="22" t="s">
        <v>47</v>
      </c>
      <c r="L232" s="23">
        <f>INDEX('会費の受け取り'!$A$10:$A$57,22)&amp;""</f>
      </c>
    </row>
    <row r="233" ht="22" customHeight="1" spans="1:12" x14ac:dyDescent="0.25">
      <c r="A233" s="26" t="s">
        <v>48</v>
      </c>
      <c r="B233" s="27">
        <f>IF(INDEX('会費の受け取り'!$F$10:$F$57,22)="","　　年　　月　　日",INDEX('会費の受け取り'!$F$10:$F$57,22))</f>
      </c>
      <c r="C233" s="27"/>
      <c r="D233" s="27"/>
      <c r="E233" s="24"/>
      <c r="J233" s="28">
        <f>IF(INDEX('会費の受け取り'!$F$10:$F$57,22)="","　　年　　月　　日",INDEX('会費の受け取り'!$F$10:$F$57,22))</f>
      </c>
      <c r="K233" s="28"/>
      <c r="L233" s="28"/>
    </row>
    <row r="234" ht="26" customHeight="1" spans="1:11" x14ac:dyDescent="0.25">
      <c r="A234" s="26" t="s">
        <v>29</v>
      </c>
      <c r="B234" s="29">
        <f>INDEX('会費の受け取り'!$C$10:$C$57,22)&amp;""</f>
      </c>
      <c r="C234" s="29"/>
      <c r="D234" s="29"/>
      <c r="E234" s="24"/>
      <c r="F234" s="30">
        <f>INDEX('会費の受け取り'!$C$10:$C$57,22)&amp;""</f>
      </c>
      <c r="G234" s="30"/>
      <c r="H234" s="30"/>
      <c r="I234" s="30"/>
      <c r="J234" s="30"/>
      <c r="K234" s="31" t="s">
        <v>49</v>
      </c>
    </row>
    <row r="235" ht="32" customHeight="1" spans="1:11" x14ac:dyDescent="0.25">
      <c r="A235" s="26" t="s">
        <v>50</v>
      </c>
      <c r="B235" s="32">
        <f>IF(INDEX('会費の受け取り'!$C$10:$C$57,22)="","",IF(INDEX('会費の受け取り'!$D$10:$D$57,22)="",N('会費の受け取り'!$B$5),INDEX('会費の受け取り'!$D$10:$D$57,22)))</f>
      </c>
      <c r="C235" s="32"/>
      <c r="D235" s="32"/>
      <c r="E235" s="24"/>
      <c r="F235" s="23" t="s">
        <v>50</v>
      </c>
      <c r="G235" s="33">
        <f>IF(INDEX('会費の受け取り'!$C$10:$C$57,22)="","",IF(INDEX('会費の受け取り'!$D$10:$D$57,22)="",N('会費の受け取り'!$B$5),INDEX('会費の受け取り'!$D$10:$D$57,22)))</f>
      </c>
      <c r="H235" s="33"/>
      <c r="I235" s="33"/>
      <c r="J235" s="33"/>
      <c r="K235" s="33"/>
    </row>
    <row r="236" ht="38" customHeight="1" spans="1:12" x14ac:dyDescent="0.25">
      <c r="A236" s="26" t="s">
        <v>51</v>
      </c>
      <c r="B236" s="34">
        <f>IF(INDEX('会費の受け取り'!$C$10:$C$57,22)="","",IF(INDEX('会費の受け取り'!$E$10:$E$57,22)&amp;""&lt;&gt;"",INDEX('会費の受け取り'!$E$10:$E$57,22)&amp;"",'会費の受け取り'!$B$6&amp;""))</f>
      </c>
      <c r="C236" s="34"/>
      <c r="D236" s="34"/>
      <c r="E236" s="24"/>
      <c r="F236" s="35">
        <f>"但し "&amp;IF(INDEX('会費の受け取り'!$C$10:$C$57,22)="","",IF(INDEX('会費の受け取り'!$E$10:$E$57,22)&amp;""&lt;&gt;"",INDEX('会費の受け取り'!$E$10:$E$57,22)&amp;"",'会費の受け取り'!$B$6&amp;""))</f>
      </c>
      <c r="G236" s="35"/>
      <c r="H236" s="35"/>
      <c r="I236" s="35"/>
      <c r="J236" s="35"/>
      <c r="K236" s="35"/>
      <c r="L236" s="35"/>
    </row>
    <row r="237" ht="22" customHeight="1" spans="1:12" x14ac:dyDescent="0.25">
      <c r="A237" s="26" t="s">
        <v>33</v>
      </c>
      <c r="B237" s="29">
        <f>IF(INDEX('会費の受け取り'!$G$10:$G$57,22)&amp;""&lt;&gt;"",INDEX('会費の受け取り'!$G$10:$G$57,22)&amp;"",'会費の受け取り'!$B$4&amp;"")</f>
      </c>
      <c r="C237" s="29"/>
      <c r="D237" s="29"/>
      <c r="E237" s="24"/>
      <c r="F237" s="36" t="s">
        <v>52</v>
      </c>
      <c r="G237" s="36"/>
      <c r="H237" s="36"/>
      <c r="I237" s="36"/>
      <c r="J237" s="36"/>
      <c r="K237" s="36"/>
      <c r="L237" s="36"/>
    </row>
    <row r="238" ht="20" customHeight="1" spans="1:5" x14ac:dyDescent="0.25">
      <c r="A238" s="37">
        <f>IF(INDEX('会費の受け取り'!$H$10:$H$57,22)&amp;""="書き損じ","書き損じ","")</f>
      </c>
      <c r="B238" s="37"/>
      <c r="C238" s="37"/>
      <c r="D238" s="37"/>
      <c r="E238" s="24"/>
    </row>
    <row r="239" ht="22" customHeight="1" spans="5:12" x14ac:dyDescent="0.25">
      <c r="E239" s="24"/>
      <c r="H239" s="38">
        <f>IF('会費の受け取り'!$B$3="","",'会費の受け取り'!$B$3)</f>
      </c>
      <c r="I239" s="38"/>
      <c r="J239" s="38"/>
      <c r="K239" s="38"/>
      <c r="L239" s="38"/>
    </row>
    <row r="240" ht="28" customHeight="1" spans="5:12" x14ac:dyDescent="0.25">
      <c r="E240" s="24"/>
      <c r="H240" s="39">
        <f>IF(INDEX('会費の受け取り'!$G$10:$G$57,22)&amp;""&lt;&gt;"",INDEX('会費の受け取り'!$G$10:$G$57,22)&amp;"",'会費の受け取り'!$B$4&amp;"")</f>
      </c>
      <c r="I240" s="39"/>
      <c r="J240" s="39"/>
      <c r="K240" s="39"/>
      <c r="L240" s="40" t="s">
        <v>53</v>
      </c>
    </row>
    <row r="241" ht="10" customHeight="1" spans="5:5" x14ac:dyDescent="0.25">
      <c r="E241" s="24"/>
    </row>
    <row r="242" ht="12" customHeight="1" spans="1:12" x14ac:dyDescent="0.25">
      <c r="A242" s="41"/>
      <c r="B242" s="41"/>
      <c r="C242" s="41"/>
      <c r="D242" s="41"/>
      <c r="E242" s="42"/>
      <c r="F242" s="41"/>
      <c r="G242" s="41"/>
      <c r="H242" s="41"/>
      <c r="I242" s="41"/>
      <c r="J242" s="41"/>
      <c r="K242" s="41"/>
      <c r="L242" s="41"/>
    </row>
    <row r="243" ht="28" customHeight="1" spans="1:12" x14ac:dyDescent="0.25">
      <c r="A243" s="21" t="s">
        <v>46</v>
      </c>
      <c r="C243" s="22" t="s">
        <v>47</v>
      </c>
      <c r="D243" s="23">
        <f>INDEX('会費の受け取り'!$A$10:$A$57,23)&amp;""</f>
      </c>
      <c r="E243" s="24"/>
      <c r="F243" s="25">
        <f>IF(INDEX('会費の受け取り'!$H$10:$H$57,23)&amp;""="書き損じ","書き損じ","領　収　書")</f>
      </c>
      <c r="G243" s="25"/>
      <c r="H243" s="25"/>
      <c r="I243" s="25"/>
      <c r="J243" s="25"/>
      <c r="K243" s="22" t="s">
        <v>47</v>
      </c>
      <c r="L243" s="23">
        <f>INDEX('会費の受け取り'!$A$10:$A$57,23)&amp;""</f>
      </c>
    </row>
    <row r="244" ht="22" customHeight="1" spans="1:12" x14ac:dyDescent="0.25">
      <c r="A244" s="26" t="s">
        <v>48</v>
      </c>
      <c r="B244" s="27">
        <f>IF(INDEX('会費の受け取り'!$F$10:$F$57,23)="","　　年　　月　　日",INDEX('会費の受け取り'!$F$10:$F$57,23))</f>
      </c>
      <c r="C244" s="27"/>
      <c r="D244" s="27"/>
      <c r="E244" s="24"/>
      <c r="J244" s="28">
        <f>IF(INDEX('会費の受け取り'!$F$10:$F$57,23)="","　　年　　月　　日",INDEX('会費の受け取り'!$F$10:$F$57,23))</f>
      </c>
      <c r="K244" s="28"/>
      <c r="L244" s="28"/>
    </row>
    <row r="245" ht="26" customHeight="1" spans="1:11" x14ac:dyDescent="0.25">
      <c r="A245" s="26" t="s">
        <v>29</v>
      </c>
      <c r="B245" s="29">
        <f>INDEX('会費の受け取り'!$C$10:$C$57,23)&amp;""</f>
      </c>
      <c r="C245" s="29"/>
      <c r="D245" s="29"/>
      <c r="E245" s="24"/>
      <c r="F245" s="30">
        <f>INDEX('会費の受け取り'!$C$10:$C$57,23)&amp;""</f>
      </c>
      <c r="G245" s="30"/>
      <c r="H245" s="30"/>
      <c r="I245" s="30"/>
      <c r="J245" s="30"/>
      <c r="K245" s="31" t="s">
        <v>49</v>
      </c>
    </row>
    <row r="246" ht="32" customHeight="1" spans="1:11" x14ac:dyDescent="0.25">
      <c r="A246" s="26" t="s">
        <v>50</v>
      </c>
      <c r="B246" s="32">
        <f>IF(INDEX('会費の受け取り'!$C$10:$C$57,23)="","",IF(INDEX('会費の受け取り'!$D$10:$D$57,23)="",N('会費の受け取り'!$B$5),INDEX('会費の受け取り'!$D$10:$D$57,23)))</f>
      </c>
      <c r="C246" s="32"/>
      <c r="D246" s="32"/>
      <c r="E246" s="24"/>
      <c r="F246" s="23" t="s">
        <v>50</v>
      </c>
      <c r="G246" s="33">
        <f>IF(INDEX('会費の受け取り'!$C$10:$C$57,23)="","",IF(INDEX('会費の受け取り'!$D$10:$D$57,23)="",N('会費の受け取り'!$B$5),INDEX('会費の受け取り'!$D$10:$D$57,23)))</f>
      </c>
      <c r="H246" s="33"/>
      <c r="I246" s="33"/>
      <c r="J246" s="33"/>
      <c r="K246" s="33"/>
    </row>
    <row r="247" ht="38" customHeight="1" spans="1:12" x14ac:dyDescent="0.25">
      <c r="A247" s="26" t="s">
        <v>51</v>
      </c>
      <c r="B247" s="34">
        <f>IF(INDEX('会費の受け取り'!$C$10:$C$57,23)="","",IF(INDEX('会費の受け取り'!$E$10:$E$57,23)&amp;""&lt;&gt;"",INDEX('会費の受け取り'!$E$10:$E$57,23)&amp;"",'会費の受け取り'!$B$6&amp;""))</f>
      </c>
      <c r="C247" s="34"/>
      <c r="D247" s="34"/>
      <c r="E247" s="24"/>
      <c r="F247" s="35">
        <f>"但し "&amp;IF(INDEX('会費の受け取り'!$C$10:$C$57,23)="","",IF(INDEX('会費の受け取り'!$E$10:$E$57,23)&amp;""&lt;&gt;"",INDEX('会費の受け取り'!$E$10:$E$57,23)&amp;"",'会費の受け取り'!$B$6&amp;""))</f>
      </c>
      <c r="G247" s="35"/>
      <c r="H247" s="35"/>
      <c r="I247" s="35"/>
      <c r="J247" s="35"/>
      <c r="K247" s="35"/>
      <c r="L247" s="35"/>
    </row>
    <row r="248" ht="22" customHeight="1" spans="1:12" x14ac:dyDescent="0.25">
      <c r="A248" s="26" t="s">
        <v>33</v>
      </c>
      <c r="B248" s="29">
        <f>IF(INDEX('会費の受け取り'!$G$10:$G$57,23)&amp;""&lt;&gt;"",INDEX('会費の受け取り'!$G$10:$G$57,23)&amp;"",'会費の受け取り'!$B$4&amp;"")</f>
      </c>
      <c r="C248" s="29"/>
      <c r="D248" s="29"/>
      <c r="E248" s="24"/>
      <c r="F248" s="36" t="s">
        <v>52</v>
      </c>
      <c r="G248" s="36"/>
      <c r="H248" s="36"/>
      <c r="I248" s="36"/>
      <c r="J248" s="36"/>
      <c r="K248" s="36"/>
      <c r="L248" s="36"/>
    </row>
    <row r="249" ht="20" customHeight="1" spans="1:5" x14ac:dyDescent="0.25">
      <c r="A249" s="37">
        <f>IF(INDEX('会費の受け取り'!$H$10:$H$57,23)&amp;""="書き損じ","書き損じ","")</f>
      </c>
      <c r="B249" s="37"/>
      <c r="C249" s="37"/>
      <c r="D249" s="37"/>
      <c r="E249" s="24"/>
    </row>
    <row r="250" ht="22" customHeight="1" spans="5:12" x14ac:dyDescent="0.25">
      <c r="E250" s="24"/>
      <c r="H250" s="38">
        <f>IF('会費の受け取り'!$B$3="","",'会費の受け取り'!$B$3)</f>
      </c>
      <c r="I250" s="38"/>
      <c r="J250" s="38"/>
      <c r="K250" s="38"/>
      <c r="L250" s="38"/>
    </row>
    <row r="251" ht="28" customHeight="1" spans="5:12" x14ac:dyDescent="0.25">
      <c r="E251" s="24"/>
      <c r="H251" s="39">
        <f>IF(INDEX('会費の受け取り'!$G$10:$G$57,23)&amp;""&lt;&gt;"",INDEX('会費の受け取り'!$G$10:$G$57,23)&amp;"",'会費の受け取り'!$B$4&amp;"")</f>
      </c>
      <c r="I251" s="39"/>
      <c r="J251" s="39"/>
      <c r="K251" s="39"/>
      <c r="L251" s="40" t="s">
        <v>53</v>
      </c>
    </row>
    <row r="252" ht="10" customHeight="1" spans="5:5" x14ac:dyDescent="0.25">
      <c r="E252" s="24"/>
    </row>
    <row r="253" ht="12" customHeight="1" spans="1:12" x14ac:dyDescent="0.25">
      <c r="A253" s="41"/>
      <c r="B253" s="41"/>
      <c r="C253" s="41"/>
      <c r="D253" s="41"/>
      <c r="E253" s="42"/>
      <c r="F253" s="41"/>
      <c r="G253" s="41"/>
      <c r="H253" s="41"/>
      <c r="I253" s="41"/>
      <c r="J253" s="41"/>
      <c r="K253" s="41"/>
      <c r="L253" s="41"/>
    </row>
    <row r="254" ht="28" customHeight="1" spans="1:12" x14ac:dyDescent="0.25">
      <c r="A254" s="21" t="s">
        <v>46</v>
      </c>
      <c r="C254" s="22" t="s">
        <v>47</v>
      </c>
      <c r="D254" s="23">
        <f>INDEX('会費の受け取り'!$A$10:$A$57,24)&amp;""</f>
      </c>
      <c r="E254" s="24"/>
      <c r="F254" s="25">
        <f>IF(INDEX('会費の受け取り'!$H$10:$H$57,24)&amp;""="書き損じ","書き損じ","領　収　書")</f>
      </c>
      <c r="G254" s="25"/>
      <c r="H254" s="25"/>
      <c r="I254" s="25"/>
      <c r="J254" s="25"/>
      <c r="K254" s="22" t="s">
        <v>47</v>
      </c>
      <c r="L254" s="23">
        <f>INDEX('会費の受け取り'!$A$10:$A$57,24)&amp;""</f>
      </c>
    </row>
    <row r="255" ht="22" customHeight="1" spans="1:12" x14ac:dyDescent="0.25">
      <c r="A255" s="26" t="s">
        <v>48</v>
      </c>
      <c r="B255" s="27">
        <f>IF(INDEX('会費の受け取り'!$F$10:$F$57,24)="","　　年　　月　　日",INDEX('会費の受け取り'!$F$10:$F$57,24))</f>
      </c>
      <c r="C255" s="27"/>
      <c r="D255" s="27"/>
      <c r="E255" s="24"/>
      <c r="J255" s="28">
        <f>IF(INDEX('会費の受け取り'!$F$10:$F$57,24)="","　　年　　月　　日",INDEX('会費の受け取り'!$F$10:$F$57,24))</f>
      </c>
      <c r="K255" s="28"/>
      <c r="L255" s="28"/>
    </row>
    <row r="256" ht="26" customHeight="1" spans="1:11" x14ac:dyDescent="0.25">
      <c r="A256" s="26" t="s">
        <v>29</v>
      </c>
      <c r="B256" s="29">
        <f>INDEX('会費の受け取り'!$C$10:$C$57,24)&amp;""</f>
      </c>
      <c r="C256" s="29"/>
      <c r="D256" s="29"/>
      <c r="E256" s="24"/>
      <c r="F256" s="30">
        <f>INDEX('会費の受け取り'!$C$10:$C$57,24)&amp;""</f>
      </c>
      <c r="G256" s="30"/>
      <c r="H256" s="30"/>
      <c r="I256" s="30"/>
      <c r="J256" s="30"/>
      <c r="K256" s="31" t="s">
        <v>49</v>
      </c>
    </row>
    <row r="257" ht="32" customHeight="1" spans="1:11" x14ac:dyDescent="0.25">
      <c r="A257" s="26" t="s">
        <v>50</v>
      </c>
      <c r="B257" s="32">
        <f>IF(INDEX('会費の受け取り'!$C$10:$C$57,24)="","",IF(INDEX('会費の受け取り'!$D$10:$D$57,24)="",N('会費の受け取り'!$B$5),INDEX('会費の受け取り'!$D$10:$D$57,24)))</f>
      </c>
      <c r="C257" s="32"/>
      <c r="D257" s="32"/>
      <c r="E257" s="24"/>
      <c r="F257" s="23" t="s">
        <v>50</v>
      </c>
      <c r="G257" s="33">
        <f>IF(INDEX('会費の受け取り'!$C$10:$C$57,24)="","",IF(INDEX('会費の受け取り'!$D$10:$D$57,24)="",N('会費の受け取り'!$B$5),INDEX('会費の受け取り'!$D$10:$D$57,24)))</f>
      </c>
      <c r="H257" s="33"/>
      <c r="I257" s="33"/>
      <c r="J257" s="33"/>
      <c r="K257" s="33"/>
    </row>
    <row r="258" ht="38" customHeight="1" spans="1:12" x14ac:dyDescent="0.25">
      <c r="A258" s="26" t="s">
        <v>51</v>
      </c>
      <c r="B258" s="34">
        <f>IF(INDEX('会費の受け取り'!$C$10:$C$57,24)="","",IF(INDEX('会費の受け取り'!$E$10:$E$57,24)&amp;""&lt;&gt;"",INDEX('会費の受け取り'!$E$10:$E$57,24)&amp;"",'会費の受け取り'!$B$6&amp;""))</f>
      </c>
      <c r="C258" s="34"/>
      <c r="D258" s="34"/>
      <c r="E258" s="24"/>
      <c r="F258" s="35">
        <f>"但し "&amp;IF(INDEX('会費の受け取り'!$C$10:$C$57,24)="","",IF(INDEX('会費の受け取り'!$E$10:$E$57,24)&amp;""&lt;&gt;"",INDEX('会費の受け取り'!$E$10:$E$57,24)&amp;"",'会費の受け取り'!$B$6&amp;""))</f>
      </c>
      <c r="G258" s="35"/>
      <c r="H258" s="35"/>
      <c r="I258" s="35"/>
      <c r="J258" s="35"/>
      <c r="K258" s="35"/>
      <c r="L258" s="35"/>
    </row>
    <row r="259" ht="22" customHeight="1" spans="1:12" x14ac:dyDescent="0.25">
      <c r="A259" s="26" t="s">
        <v>33</v>
      </c>
      <c r="B259" s="29">
        <f>IF(INDEX('会費の受け取り'!$G$10:$G$57,24)&amp;""&lt;&gt;"",INDEX('会費の受け取り'!$G$10:$G$57,24)&amp;"",'会費の受け取り'!$B$4&amp;"")</f>
      </c>
      <c r="C259" s="29"/>
      <c r="D259" s="29"/>
      <c r="E259" s="24"/>
      <c r="F259" s="36" t="s">
        <v>52</v>
      </c>
      <c r="G259" s="36"/>
      <c r="H259" s="36"/>
      <c r="I259" s="36"/>
      <c r="J259" s="36"/>
      <c r="K259" s="36"/>
      <c r="L259" s="36"/>
    </row>
    <row r="260" ht="20" customHeight="1" spans="1:5" x14ac:dyDescent="0.25">
      <c r="A260" s="37">
        <f>IF(INDEX('会費の受け取り'!$H$10:$H$57,24)&amp;""="書き損じ","書き損じ","")</f>
      </c>
      <c r="B260" s="37"/>
      <c r="C260" s="37"/>
      <c r="D260" s="37"/>
      <c r="E260" s="24"/>
    </row>
    <row r="261" ht="22" customHeight="1" spans="5:12" x14ac:dyDescent="0.25">
      <c r="E261" s="24"/>
      <c r="H261" s="38">
        <f>IF('会費の受け取り'!$B$3="","",'会費の受け取り'!$B$3)</f>
      </c>
      <c r="I261" s="38"/>
      <c r="J261" s="38"/>
      <c r="K261" s="38"/>
      <c r="L261" s="38"/>
    </row>
    <row r="262" ht="28" customHeight="1" spans="5:12" x14ac:dyDescent="0.25">
      <c r="E262" s="24"/>
      <c r="H262" s="39">
        <f>IF(INDEX('会費の受け取り'!$G$10:$G$57,24)&amp;""&lt;&gt;"",INDEX('会費の受け取り'!$G$10:$G$57,24)&amp;"",'会費の受け取り'!$B$4&amp;"")</f>
      </c>
      <c r="I262" s="39"/>
      <c r="J262" s="39"/>
      <c r="K262" s="39"/>
      <c r="L262" s="40" t="s">
        <v>53</v>
      </c>
    </row>
    <row r="263" ht="10" customHeight="1" spans="5:5" x14ac:dyDescent="0.25">
      <c r="E263" s="24"/>
    </row>
    <row r="264" ht="12" customHeight="1" spans="1:12" x14ac:dyDescent="0.25">
      <c r="A264" s="41"/>
      <c r="B264" s="41"/>
      <c r="C264" s="41"/>
      <c r="D264" s="41"/>
      <c r="E264" s="42"/>
      <c r="F264" s="41"/>
      <c r="G264" s="41"/>
      <c r="H264" s="41"/>
      <c r="I264" s="41"/>
      <c r="J264" s="41"/>
      <c r="K264" s="41"/>
      <c r="L264" s="41"/>
    </row>
    <row r="265" ht="28" customHeight="1" spans="1:12" x14ac:dyDescent="0.25">
      <c r="A265" s="21" t="s">
        <v>46</v>
      </c>
      <c r="C265" s="22" t="s">
        <v>47</v>
      </c>
      <c r="D265" s="23">
        <f>INDEX('会費の受け取り'!$A$10:$A$57,25)&amp;""</f>
      </c>
      <c r="E265" s="24"/>
      <c r="F265" s="25">
        <f>IF(INDEX('会費の受け取り'!$H$10:$H$57,25)&amp;""="書き損じ","書き損じ","領　収　書")</f>
      </c>
      <c r="G265" s="25"/>
      <c r="H265" s="25"/>
      <c r="I265" s="25"/>
      <c r="J265" s="25"/>
      <c r="K265" s="22" t="s">
        <v>47</v>
      </c>
      <c r="L265" s="23">
        <f>INDEX('会費の受け取り'!$A$10:$A$57,25)&amp;""</f>
      </c>
    </row>
    <row r="266" ht="22" customHeight="1" spans="1:12" x14ac:dyDescent="0.25">
      <c r="A266" s="26" t="s">
        <v>48</v>
      </c>
      <c r="B266" s="27">
        <f>IF(INDEX('会費の受け取り'!$F$10:$F$57,25)="","　　年　　月　　日",INDEX('会費の受け取り'!$F$10:$F$57,25))</f>
      </c>
      <c r="C266" s="27"/>
      <c r="D266" s="27"/>
      <c r="E266" s="24"/>
      <c r="J266" s="28">
        <f>IF(INDEX('会費の受け取り'!$F$10:$F$57,25)="","　　年　　月　　日",INDEX('会費の受け取り'!$F$10:$F$57,25))</f>
      </c>
      <c r="K266" s="28"/>
      <c r="L266" s="28"/>
    </row>
    <row r="267" ht="26" customHeight="1" spans="1:11" x14ac:dyDescent="0.25">
      <c r="A267" s="26" t="s">
        <v>29</v>
      </c>
      <c r="B267" s="29">
        <f>INDEX('会費の受け取り'!$C$10:$C$57,25)&amp;""</f>
      </c>
      <c r="C267" s="29"/>
      <c r="D267" s="29"/>
      <c r="E267" s="24"/>
      <c r="F267" s="30">
        <f>INDEX('会費の受け取り'!$C$10:$C$57,25)&amp;""</f>
      </c>
      <c r="G267" s="30"/>
      <c r="H267" s="30"/>
      <c r="I267" s="30"/>
      <c r="J267" s="30"/>
      <c r="K267" s="31" t="s">
        <v>49</v>
      </c>
    </row>
    <row r="268" ht="32" customHeight="1" spans="1:11" x14ac:dyDescent="0.25">
      <c r="A268" s="26" t="s">
        <v>50</v>
      </c>
      <c r="B268" s="32">
        <f>IF(INDEX('会費の受け取り'!$C$10:$C$57,25)="","",IF(INDEX('会費の受け取り'!$D$10:$D$57,25)="",N('会費の受け取り'!$B$5),INDEX('会費の受け取り'!$D$10:$D$57,25)))</f>
      </c>
      <c r="C268" s="32"/>
      <c r="D268" s="32"/>
      <c r="E268" s="24"/>
      <c r="F268" s="23" t="s">
        <v>50</v>
      </c>
      <c r="G268" s="33">
        <f>IF(INDEX('会費の受け取り'!$C$10:$C$57,25)="","",IF(INDEX('会費の受け取り'!$D$10:$D$57,25)="",N('会費の受け取り'!$B$5),INDEX('会費の受け取り'!$D$10:$D$57,25)))</f>
      </c>
      <c r="H268" s="33"/>
      <c r="I268" s="33"/>
      <c r="J268" s="33"/>
      <c r="K268" s="33"/>
    </row>
    <row r="269" ht="38" customHeight="1" spans="1:12" x14ac:dyDescent="0.25">
      <c r="A269" s="26" t="s">
        <v>51</v>
      </c>
      <c r="B269" s="34">
        <f>IF(INDEX('会費の受け取り'!$C$10:$C$57,25)="","",IF(INDEX('会費の受け取り'!$E$10:$E$57,25)&amp;""&lt;&gt;"",INDEX('会費の受け取り'!$E$10:$E$57,25)&amp;"",'会費の受け取り'!$B$6&amp;""))</f>
      </c>
      <c r="C269" s="34"/>
      <c r="D269" s="34"/>
      <c r="E269" s="24"/>
      <c r="F269" s="35">
        <f>"但し "&amp;IF(INDEX('会費の受け取り'!$C$10:$C$57,25)="","",IF(INDEX('会費の受け取り'!$E$10:$E$57,25)&amp;""&lt;&gt;"",INDEX('会費の受け取り'!$E$10:$E$57,25)&amp;"",'会費の受け取り'!$B$6&amp;""))</f>
      </c>
      <c r="G269" s="35"/>
      <c r="H269" s="35"/>
      <c r="I269" s="35"/>
      <c r="J269" s="35"/>
      <c r="K269" s="35"/>
      <c r="L269" s="35"/>
    </row>
    <row r="270" ht="22" customHeight="1" spans="1:12" x14ac:dyDescent="0.25">
      <c r="A270" s="26" t="s">
        <v>33</v>
      </c>
      <c r="B270" s="29">
        <f>IF(INDEX('会費の受け取り'!$G$10:$G$57,25)&amp;""&lt;&gt;"",INDEX('会費の受け取り'!$G$10:$G$57,25)&amp;"",'会費の受け取り'!$B$4&amp;"")</f>
      </c>
      <c r="C270" s="29"/>
      <c r="D270" s="29"/>
      <c r="E270" s="24"/>
      <c r="F270" s="36" t="s">
        <v>52</v>
      </c>
      <c r="G270" s="36"/>
      <c r="H270" s="36"/>
      <c r="I270" s="36"/>
      <c r="J270" s="36"/>
      <c r="K270" s="36"/>
      <c r="L270" s="36"/>
    </row>
    <row r="271" ht="20" customHeight="1" spans="1:5" x14ac:dyDescent="0.25">
      <c r="A271" s="37">
        <f>IF(INDEX('会費の受け取り'!$H$10:$H$57,25)&amp;""="書き損じ","書き損じ","")</f>
      </c>
      <c r="B271" s="37"/>
      <c r="C271" s="37"/>
      <c r="D271" s="37"/>
      <c r="E271" s="24"/>
    </row>
    <row r="272" ht="22" customHeight="1" spans="5:12" x14ac:dyDescent="0.25">
      <c r="E272" s="24"/>
      <c r="H272" s="38">
        <f>IF('会費の受け取り'!$B$3="","",'会費の受け取り'!$B$3)</f>
      </c>
      <c r="I272" s="38"/>
      <c r="J272" s="38"/>
      <c r="K272" s="38"/>
      <c r="L272" s="38"/>
    </row>
    <row r="273" ht="28" customHeight="1" spans="5:12" x14ac:dyDescent="0.25">
      <c r="E273" s="24"/>
      <c r="H273" s="39">
        <f>IF(INDEX('会費の受け取り'!$G$10:$G$57,25)&amp;""&lt;&gt;"",INDEX('会費の受け取り'!$G$10:$G$57,25)&amp;"",'会費の受け取り'!$B$4&amp;"")</f>
      </c>
      <c r="I273" s="39"/>
      <c r="J273" s="39"/>
      <c r="K273" s="39"/>
      <c r="L273" s="40" t="s">
        <v>53</v>
      </c>
    </row>
    <row r="274" ht="10" customHeight="1" spans="5:5" x14ac:dyDescent="0.25">
      <c r="E274" s="24"/>
    </row>
    <row r="275" ht="12" customHeight="1" spans="1:12" x14ac:dyDescent="0.25">
      <c r="A275" s="41"/>
      <c r="B275" s="41"/>
      <c r="C275" s="41"/>
      <c r="D275" s="41"/>
      <c r="E275" s="42"/>
      <c r="F275" s="41"/>
      <c r="G275" s="41"/>
      <c r="H275" s="41"/>
      <c r="I275" s="41"/>
      <c r="J275" s="41"/>
      <c r="K275" s="41"/>
      <c r="L275" s="41"/>
    </row>
    <row r="276" ht="28" customHeight="1" spans="1:12" x14ac:dyDescent="0.25">
      <c r="A276" s="21" t="s">
        <v>46</v>
      </c>
      <c r="C276" s="22" t="s">
        <v>47</v>
      </c>
      <c r="D276" s="23">
        <f>INDEX('会費の受け取り'!$A$10:$A$57,26)&amp;""</f>
      </c>
      <c r="E276" s="24"/>
      <c r="F276" s="25">
        <f>IF(INDEX('会費の受け取り'!$H$10:$H$57,26)&amp;""="書き損じ","書き損じ","領　収　書")</f>
      </c>
      <c r="G276" s="25"/>
      <c r="H276" s="25"/>
      <c r="I276" s="25"/>
      <c r="J276" s="25"/>
      <c r="K276" s="22" t="s">
        <v>47</v>
      </c>
      <c r="L276" s="23">
        <f>INDEX('会費の受け取り'!$A$10:$A$57,26)&amp;""</f>
      </c>
    </row>
    <row r="277" ht="22" customHeight="1" spans="1:12" x14ac:dyDescent="0.25">
      <c r="A277" s="26" t="s">
        <v>48</v>
      </c>
      <c r="B277" s="27">
        <f>IF(INDEX('会費の受け取り'!$F$10:$F$57,26)="","　　年　　月　　日",INDEX('会費の受け取り'!$F$10:$F$57,26))</f>
      </c>
      <c r="C277" s="27"/>
      <c r="D277" s="27"/>
      <c r="E277" s="24"/>
      <c r="J277" s="28">
        <f>IF(INDEX('会費の受け取り'!$F$10:$F$57,26)="","　　年　　月　　日",INDEX('会費の受け取り'!$F$10:$F$57,26))</f>
      </c>
      <c r="K277" s="28"/>
      <c r="L277" s="28"/>
    </row>
    <row r="278" ht="26" customHeight="1" spans="1:11" x14ac:dyDescent="0.25">
      <c r="A278" s="26" t="s">
        <v>29</v>
      </c>
      <c r="B278" s="29">
        <f>INDEX('会費の受け取り'!$C$10:$C$57,26)&amp;""</f>
      </c>
      <c r="C278" s="29"/>
      <c r="D278" s="29"/>
      <c r="E278" s="24"/>
      <c r="F278" s="30">
        <f>INDEX('会費の受け取り'!$C$10:$C$57,26)&amp;""</f>
      </c>
      <c r="G278" s="30"/>
      <c r="H278" s="30"/>
      <c r="I278" s="30"/>
      <c r="J278" s="30"/>
      <c r="K278" s="31" t="s">
        <v>49</v>
      </c>
    </row>
    <row r="279" ht="32" customHeight="1" spans="1:11" x14ac:dyDescent="0.25">
      <c r="A279" s="26" t="s">
        <v>50</v>
      </c>
      <c r="B279" s="32">
        <f>IF(INDEX('会費の受け取り'!$C$10:$C$57,26)="","",IF(INDEX('会費の受け取り'!$D$10:$D$57,26)="",N('会費の受け取り'!$B$5),INDEX('会費の受け取り'!$D$10:$D$57,26)))</f>
      </c>
      <c r="C279" s="32"/>
      <c r="D279" s="32"/>
      <c r="E279" s="24"/>
      <c r="F279" s="23" t="s">
        <v>50</v>
      </c>
      <c r="G279" s="33">
        <f>IF(INDEX('会費の受け取り'!$C$10:$C$57,26)="","",IF(INDEX('会費の受け取り'!$D$10:$D$57,26)="",N('会費の受け取り'!$B$5),INDEX('会費の受け取り'!$D$10:$D$57,26)))</f>
      </c>
      <c r="H279" s="33"/>
      <c r="I279" s="33"/>
      <c r="J279" s="33"/>
      <c r="K279" s="33"/>
    </row>
    <row r="280" ht="38" customHeight="1" spans="1:12" x14ac:dyDescent="0.25">
      <c r="A280" s="26" t="s">
        <v>51</v>
      </c>
      <c r="B280" s="34">
        <f>IF(INDEX('会費の受け取り'!$C$10:$C$57,26)="","",IF(INDEX('会費の受け取り'!$E$10:$E$57,26)&amp;""&lt;&gt;"",INDEX('会費の受け取り'!$E$10:$E$57,26)&amp;"",'会費の受け取り'!$B$6&amp;""))</f>
      </c>
      <c r="C280" s="34"/>
      <c r="D280" s="34"/>
      <c r="E280" s="24"/>
      <c r="F280" s="35">
        <f>"但し "&amp;IF(INDEX('会費の受け取り'!$C$10:$C$57,26)="","",IF(INDEX('会費の受け取り'!$E$10:$E$57,26)&amp;""&lt;&gt;"",INDEX('会費の受け取り'!$E$10:$E$57,26)&amp;"",'会費の受け取り'!$B$6&amp;""))</f>
      </c>
      <c r="G280" s="35"/>
      <c r="H280" s="35"/>
      <c r="I280" s="35"/>
      <c r="J280" s="35"/>
      <c r="K280" s="35"/>
      <c r="L280" s="35"/>
    </row>
    <row r="281" ht="22" customHeight="1" spans="1:12" x14ac:dyDescent="0.25">
      <c r="A281" s="26" t="s">
        <v>33</v>
      </c>
      <c r="B281" s="29">
        <f>IF(INDEX('会費の受け取り'!$G$10:$G$57,26)&amp;""&lt;&gt;"",INDEX('会費の受け取り'!$G$10:$G$57,26)&amp;"",'会費の受け取り'!$B$4&amp;"")</f>
      </c>
      <c r="C281" s="29"/>
      <c r="D281" s="29"/>
      <c r="E281" s="24"/>
      <c r="F281" s="36" t="s">
        <v>52</v>
      </c>
      <c r="G281" s="36"/>
      <c r="H281" s="36"/>
      <c r="I281" s="36"/>
      <c r="J281" s="36"/>
      <c r="K281" s="36"/>
      <c r="L281" s="36"/>
    </row>
    <row r="282" ht="20" customHeight="1" spans="1:5" x14ac:dyDescent="0.25">
      <c r="A282" s="37">
        <f>IF(INDEX('会費の受け取り'!$H$10:$H$57,26)&amp;""="書き損じ","書き損じ","")</f>
      </c>
      <c r="B282" s="37"/>
      <c r="C282" s="37"/>
      <c r="D282" s="37"/>
      <c r="E282" s="24"/>
    </row>
    <row r="283" ht="22" customHeight="1" spans="5:12" x14ac:dyDescent="0.25">
      <c r="E283" s="24"/>
      <c r="H283" s="38">
        <f>IF('会費の受け取り'!$B$3="","",'会費の受け取り'!$B$3)</f>
      </c>
      <c r="I283" s="38"/>
      <c r="J283" s="38"/>
      <c r="K283" s="38"/>
      <c r="L283" s="38"/>
    </row>
    <row r="284" ht="28" customHeight="1" spans="5:12" x14ac:dyDescent="0.25">
      <c r="E284" s="24"/>
      <c r="H284" s="39">
        <f>IF(INDEX('会費の受け取り'!$G$10:$G$57,26)&amp;""&lt;&gt;"",INDEX('会費の受け取り'!$G$10:$G$57,26)&amp;"",'会費の受け取り'!$B$4&amp;"")</f>
      </c>
      <c r="I284" s="39"/>
      <c r="J284" s="39"/>
      <c r="K284" s="39"/>
      <c r="L284" s="40" t="s">
        <v>53</v>
      </c>
    </row>
    <row r="285" ht="10" customHeight="1" spans="5:5" x14ac:dyDescent="0.25">
      <c r="E285" s="24"/>
    </row>
    <row r="286" ht="12" customHeight="1" spans="1:12" x14ac:dyDescent="0.25">
      <c r="A286" s="41"/>
      <c r="B286" s="41"/>
      <c r="C286" s="41"/>
      <c r="D286" s="41"/>
      <c r="E286" s="42"/>
      <c r="F286" s="41"/>
      <c r="G286" s="41"/>
      <c r="H286" s="41"/>
      <c r="I286" s="41"/>
      <c r="J286" s="41"/>
      <c r="K286" s="41"/>
      <c r="L286" s="41"/>
    </row>
    <row r="287" ht="28" customHeight="1" spans="1:12" x14ac:dyDescent="0.25">
      <c r="A287" s="21" t="s">
        <v>46</v>
      </c>
      <c r="C287" s="22" t="s">
        <v>47</v>
      </c>
      <c r="D287" s="23">
        <f>INDEX('会費の受け取り'!$A$10:$A$57,27)&amp;""</f>
      </c>
      <c r="E287" s="24"/>
      <c r="F287" s="25">
        <f>IF(INDEX('会費の受け取り'!$H$10:$H$57,27)&amp;""="書き損じ","書き損じ","領　収　書")</f>
      </c>
      <c r="G287" s="25"/>
      <c r="H287" s="25"/>
      <c r="I287" s="25"/>
      <c r="J287" s="25"/>
      <c r="K287" s="22" t="s">
        <v>47</v>
      </c>
      <c r="L287" s="23">
        <f>INDEX('会費の受け取り'!$A$10:$A$57,27)&amp;""</f>
      </c>
    </row>
    <row r="288" ht="22" customHeight="1" spans="1:12" x14ac:dyDescent="0.25">
      <c r="A288" s="26" t="s">
        <v>48</v>
      </c>
      <c r="B288" s="27">
        <f>IF(INDEX('会費の受け取り'!$F$10:$F$57,27)="","　　年　　月　　日",INDEX('会費の受け取り'!$F$10:$F$57,27))</f>
      </c>
      <c r="C288" s="27"/>
      <c r="D288" s="27"/>
      <c r="E288" s="24"/>
      <c r="J288" s="28">
        <f>IF(INDEX('会費の受け取り'!$F$10:$F$57,27)="","　　年　　月　　日",INDEX('会費の受け取り'!$F$10:$F$57,27))</f>
      </c>
      <c r="K288" s="28"/>
      <c r="L288" s="28"/>
    </row>
    <row r="289" ht="26" customHeight="1" spans="1:11" x14ac:dyDescent="0.25">
      <c r="A289" s="26" t="s">
        <v>29</v>
      </c>
      <c r="B289" s="29">
        <f>INDEX('会費の受け取り'!$C$10:$C$57,27)&amp;""</f>
      </c>
      <c r="C289" s="29"/>
      <c r="D289" s="29"/>
      <c r="E289" s="24"/>
      <c r="F289" s="30">
        <f>INDEX('会費の受け取り'!$C$10:$C$57,27)&amp;""</f>
      </c>
      <c r="G289" s="30"/>
      <c r="H289" s="30"/>
      <c r="I289" s="30"/>
      <c r="J289" s="30"/>
      <c r="K289" s="31" t="s">
        <v>49</v>
      </c>
    </row>
    <row r="290" ht="32" customHeight="1" spans="1:11" x14ac:dyDescent="0.25">
      <c r="A290" s="26" t="s">
        <v>50</v>
      </c>
      <c r="B290" s="32">
        <f>IF(INDEX('会費の受け取り'!$C$10:$C$57,27)="","",IF(INDEX('会費の受け取り'!$D$10:$D$57,27)="",N('会費の受け取り'!$B$5),INDEX('会費の受け取り'!$D$10:$D$57,27)))</f>
      </c>
      <c r="C290" s="32"/>
      <c r="D290" s="32"/>
      <c r="E290" s="24"/>
      <c r="F290" s="23" t="s">
        <v>50</v>
      </c>
      <c r="G290" s="33">
        <f>IF(INDEX('会費の受け取り'!$C$10:$C$57,27)="","",IF(INDEX('会費の受け取り'!$D$10:$D$57,27)="",N('会費の受け取り'!$B$5),INDEX('会費の受け取り'!$D$10:$D$57,27)))</f>
      </c>
      <c r="H290" s="33"/>
      <c r="I290" s="33"/>
      <c r="J290" s="33"/>
      <c r="K290" s="33"/>
    </row>
    <row r="291" ht="38" customHeight="1" spans="1:12" x14ac:dyDescent="0.25">
      <c r="A291" s="26" t="s">
        <v>51</v>
      </c>
      <c r="B291" s="34">
        <f>IF(INDEX('会費の受け取り'!$C$10:$C$57,27)="","",IF(INDEX('会費の受け取り'!$E$10:$E$57,27)&amp;""&lt;&gt;"",INDEX('会費の受け取り'!$E$10:$E$57,27)&amp;"",'会費の受け取り'!$B$6&amp;""))</f>
      </c>
      <c r="C291" s="34"/>
      <c r="D291" s="34"/>
      <c r="E291" s="24"/>
      <c r="F291" s="35">
        <f>"但し "&amp;IF(INDEX('会費の受け取り'!$C$10:$C$57,27)="","",IF(INDEX('会費の受け取り'!$E$10:$E$57,27)&amp;""&lt;&gt;"",INDEX('会費の受け取り'!$E$10:$E$57,27)&amp;"",'会費の受け取り'!$B$6&amp;""))</f>
      </c>
      <c r="G291" s="35"/>
      <c r="H291" s="35"/>
      <c r="I291" s="35"/>
      <c r="J291" s="35"/>
      <c r="K291" s="35"/>
      <c r="L291" s="35"/>
    </row>
    <row r="292" ht="22" customHeight="1" spans="1:12" x14ac:dyDescent="0.25">
      <c r="A292" s="26" t="s">
        <v>33</v>
      </c>
      <c r="B292" s="29">
        <f>IF(INDEX('会費の受け取り'!$G$10:$G$57,27)&amp;""&lt;&gt;"",INDEX('会費の受け取り'!$G$10:$G$57,27)&amp;"",'会費の受け取り'!$B$4&amp;"")</f>
      </c>
      <c r="C292" s="29"/>
      <c r="D292" s="29"/>
      <c r="E292" s="24"/>
      <c r="F292" s="36" t="s">
        <v>52</v>
      </c>
      <c r="G292" s="36"/>
      <c r="H292" s="36"/>
      <c r="I292" s="36"/>
      <c r="J292" s="36"/>
      <c r="K292" s="36"/>
      <c r="L292" s="36"/>
    </row>
    <row r="293" ht="20" customHeight="1" spans="1:5" x14ac:dyDescent="0.25">
      <c r="A293" s="37">
        <f>IF(INDEX('会費の受け取り'!$H$10:$H$57,27)&amp;""="書き損じ","書き損じ","")</f>
      </c>
      <c r="B293" s="37"/>
      <c r="C293" s="37"/>
      <c r="D293" s="37"/>
      <c r="E293" s="24"/>
    </row>
    <row r="294" ht="22" customHeight="1" spans="5:12" x14ac:dyDescent="0.25">
      <c r="E294" s="24"/>
      <c r="H294" s="38">
        <f>IF('会費の受け取り'!$B$3="","",'会費の受け取り'!$B$3)</f>
      </c>
      <c r="I294" s="38"/>
      <c r="J294" s="38"/>
      <c r="K294" s="38"/>
      <c r="L294" s="38"/>
    </row>
    <row r="295" ht="28" customHeight="1" spans="5:12" x14ac:dyDescent="0.25">
      <c r="E295" s="24"/>
      <c r="H295" s="39">
        <f>IF(INDEX('会費の受け取り'!$G$10:$G$57,27)&amp;""&lt;&gt;"",INDEX('会費の受け取り'!$G$10:$G$57,27)&amp;"",'会費の受け取り'!$B$4&amp;"")</f>
      </c>
      <c r="I295" s="39"/>
      <c r="J295" s="39"/>
      <c r="K295" s="39"/>
      <c r="L295" s="40" t="s">
        <v>53</v>
      </c>
    </row>
    <row r="296" ht="10" customHeight="1" spans="5:5" x14ac:dyDescent="0.25">
      <c r="E296" s="24"/>
    </row>
    <row r="297" ht="12" customHeight="1" spans="1:12" x14ac:dyDescent="0.25">
      <c r="A297" s="41"/>
      <c r="B297" s="41"/>
      <c r="C297" s="41"/>
      <c r="D297" s="41"/>
      <c r="E297" s="42"/>
      <c r="F297" s="41"/>
      <c r="G297" s="41"/>
      <c r="H297" s="41"/>
      <c r="I297" s="41"/>
      <c r="J297" s="41"/>
      <c r="K297" s="41"/>
      <c r="L297" s="41"/>
    </row>
    <row r="298" ht="28" customHeight="1" spans="1:12" x14ac:dyDescent="0.25">
      <c r="A298" s="21" t="s">
        <v>46</v>
      </c>
      <c r="C298" s="22" t="s">
        <v>47</v>
      </c>
      <c r="D298" s="23">
        <f>INDEX('会費の受け取り'!$A$10:$A$57,28)&amp;""</f>
      </c>
      <c r="E298" s="24"/>
      <c r="F298" s="25">
        <f>IF(INDEX('会費の受け取り'!$H$10:$H$57,28)&amp;""="書き損じ","書き損じ","領　収　書")</f>
      </c>
      <c r="G298" s="25"/>
      <c r="H298" s="25"/>
      <c r="I298" s="25"/>
      <c r="J298" s="25"/>
      <c r="K298" s="22" t="s">
        <v>47</v>
      </c>
      <c r="L298" s="23">
        <f>INDEX('会費の受け取り'!$A$10:$A$57,28)&amp;""</f>
      </c>
    </row>
    <row r="299" ht="22" customHeight="1" spans="1:12" x14ac:dyDescent="0.25">
      <c r="A299" s="26" t="s">
        <v>48</v>
      </c>
      <c r="B299" s="27">
        <f>IF(INDEX('会費の受け取り'!$F$10:$F$57,28)="","　　年　　月　　日",INDEX('会費の受け取り'!$F$10:$F$57,28))</f>
      </c>
      <c r="C299" s="27"/>
      <c r="D299" s="27"/>
      <c r="E299" s="24"/>
      <c r="J299" s="28">
        <f>IF(INDEX('会費の受け取り'!$F$10:$F$57,28)="","　　年　　月　　日",INDEX('会費の受け取り'!$F$10:$F$57,28))</f>
      </c>
      <c r="K299" s="28"/>
      <c r="L299" s="28"/>
    </row>
    <row r="300" ht="26" customHeight="1" spans="1:11" x14ac:dyDescent="0.25">
      <c r="A300" s="26" t="s">
        <v>29</v>
      </c>
      <c r="B300" s="29">
        <f>INDEX('会費の受け取り'!$C$10:$C$57,28)&amp;""</f>
      </c>
      <c r="C300" s="29"/>
      <c r="D300" s="29"/>
      <c r="E300" s="24"/>
      <c r="F300" s="30">
        <f>INDEX('会費の受け取り'!$C$10:$C$57,28)&amp;""</f>
      </c>
      <c r="G300" s="30"/>
      <c r="H300" s="30"/>
      <c r="I300" s="30"/>
      <c r="J300" s="30"/>
      <c r="K300" s="31" t="s">
        <v>49</v>
      </c>
    </row>
    <row r="301" ht="32" customHeight="1" spans="1:11" x14ac:dyDescent="0.25">
      <c r="A301" s="26" t="s">
        <v>50</v>
      </c>
      <c r="B301" s="32">
        <f>IF(INDEX('会費の受け取り'!$C$10:$C$57,28)="","",IF(INDEX('会費の受け取り'!$D$10:$D$57,28)="",N('会費の受け取り'!$B$5),INDEX('会費の受け取り'!$D$10:$D$57,28)))</f>
      </c>
      <c r="C301" s="32"/>
      <c r="D301" s="32"/>
      <c r="E301" s="24"/>
      <c r="F301" s="23" t="s">
        <v>50</v>
      </c>
      <c r="G301" s="33">
        <f>IF(INDEX('会費の受け取り'!$C$10:$C$57,28)="","",IF(INDEX('会費の受け取り'!$D$10:$D$57,28)="",N('会費の受け取り'!$B$5),INDEX('会費の受け取り'!$D$10:$D$57,28)))</f>
      </c>
      <c r="H301" s="33"/>
      <c r="I301" s="33"/>
      <c r="J301" s="33"/>
      <c r="K301" s="33"/>
    </row>
    <row r="302" ht="38" customHeight="1" spans="1:12" x14ac:dyDescent="0.25">
      <c r="A302" s="26" t="s">
        <v>51</v>
      </c>
      <c r="B302" s="34">
        <f>IF(INDEX('会費の受け取り'!$C$10:$C$57,28)="","",IF(INDEX('会費の受け取り'!$E$10:$E$57,28)&amp;""&lt;&gt;"",INDEX('会費の受け取り'!$E$10:$E$57,28)&amp;"",'会費の受け取り'!$B$6&amp;""))</f>
      </c>
      <c r="C302" s="34"/>
      <c r="D302" s="34"/>
      <c r="E302" s="24"/>
      <c r="F302" s="35">
        <f>"但し "&amp;IF(INDEX('会費の受け取り'!$C$10:$C$57,28)="","",IF(INDEX('会費の受け取り'!$E$10:$E$57,28)&amp;""&lt;&gt;"",INDEX('会費の受け取り'!$E$10:$E$57,28)&amp;"",'会費の受け取り'!$B$6&amp;""))</f>
      </c>
      <c r="G302" s="35"/>
      <c r="H302" s="35"/>
      <c r="I302" s="35"/>
      <c r="J302" s="35"/>
      <c r="K302" s="35"/>
      <c r="L302" s="35"/>
    </row>
    <row r="303" ht="22" customHeight="1" spans="1:12" x14ac:dyDescent="0.25">
      <c r="A303" s="26" t="s">
        <v>33</v>
      </c>
      <c r="B303" s="29">
        <f>IF(INDEX('会費の受け取り'!$G$10:$G$57,28)&amp;""&lt;&gt;"",INDEX('会費の受け取り'!$G$10:$G$57,28)&amp;"",'会費の受け取り'!$B$4&amp;"")</f>
      </c>
      <c r="C303" s="29"/>
      <c r="D303" s="29"/>
      <c r="E303" s="24"/>
      <c r="F303" s="36" t="s">
        <v>52</v>
      </c>
      <c r="G303" s="36"/>
      <c r="H303" s="36"/>
      <c r="I303" s="36"/>
      <c r="J303" s="36"/>
      <c r="K303" s="36"/>
      <c r="L303" s="36"/>
    </row>
    <row r="304" ht="20" customHeight="1" spans="1:5" x14ac:dyDescent="0.25">
      <c r="A304" s="37">
        <f>IF(INDEX('会費の受け取り'!$H$10:$H$57,28)&amp;""="書き損じ","書き損じ","")</f>
      </c>
      <c r="B304" s="37"/>
      <c r="C304" s="37"/>
      <c r="D304" s="37"/>
      <c r="E304" s="24"/>
    </row>
    <row r="305" ht="22" customHeight="1" spans="5:12" x14ac:dyDescent="0.25">
      <c r="E305" s="24"/>
      <c r="H305" s="38">
        <f>IF('会費の受け取り'!$B$3="","",'会費の受け取り'!$B$3)</f>
      </c>
      <c r="I305" s="38"/>
      <c r="J305" s="38"/>
      <c r="K305" s="38"/>
      <c r="L305" s="38"/>
    </row>
    <row r="306" ht="28" customHeight="1" spans="5:12" x14ac:dyDescent="0.25">
      <c r="E306" s="24"/>
      <c r="H306" s="39">
        <f>IF(INDEX('会費の受け取り'!$G$10:$G$57,28)&amp;""&lt;&gt;"",INDEX('会費の受け取り'!$G$10:$G$57,28)&amp;"",'会費の受け取り'!$B$4&amp;"")</f>
      </c>
      <c r="I306" s="39"/>
      <c r="J306" s="39"/>
      <c r="K306" s="39"/>
      <c r="L306" s="40" t="s">
        <v>53</v>
      </c>
    </row>
    <row r="307" ht="10" customHeight="1" spans="5:5" x14ac:dyDescent="0.25">
      <c r="E307" s="24"/>
    </row>
    <row r="308" ht="12" customHeight="1" spans="1:12" x14ac:dyDescent="0.25">
      <c r="A308" s="41"/>
      <c r="B308" s="41"/>
      <c r="C308" s="41"/>
      <c r="D308" s="41"/>
      <c r="E308" s="42"/>
      <c r="F308" s="41"/>
      <c r="G308" s="41"/>
      <c r="H308" s="41"/>
      <c r="I308" s="41"/>
      <c r="J308" s="41"/>
      <c r="K308" s="41"/>
      <c r="L308" s="41"/>
    </row>
    <row r="309" ht="28" customHeight="1" spans="1:12" x14ac:dyDescent="0.25">
      <c r="A309" s="21" t="s">
        <v>46</v>
      </c>
      <c r="C309" s="22" t="s">
        <v>47</v>
      </c>
      <c r="D309" s="23">
        <f>INDEX('会費の受け取り'!$A$10:$A$57,29)&amp;""</f>
      </c>
      <c r="E309" s="24"/>
      <c r="F309" s="25">
        <f>IF(INDEX('会費の受け取り'!$H$10:$H$57,29)&amp;""="書き損じ","書き損じ","領　収　書")</f>
      </c>
      <c r="G309" s="25"/>
      <c r="H309" s="25"/>
      <c r="I309" s="25"/>
      <c r="J309" s="25"/>
      <c r="K309" s="22" t="s">
        <v>47</v>
      </c>
      <c r="L309" s="23">
        <f>INDEX('会費の受け取り'!$A$10:$A$57,29)&amp;""</f>
      </c>
    </row>
    <row r="310" ht="22" customHeight="1" spans="1:12" x14ac:dyDescent="0.25">
      <c r="A310" s="26" t="s">
        <v>48</v>
      </c>
      <c r="B310" s="27">
        <f>IF(INDEX('会費の受け取り'!$F$10:$F$57,29)="","　　年　　月　　日",INDEX('会費の受け取り'!$F$10:$F$57,29))</f>
      </c>
      <c r="C310" s="27"/>
      <c r="D310" s="27"/>
      <c r="E310" s="24"/>
      <c r="J310" s="28">
        <f>IF(INDEX('会費の受け取り'!$F$10:$F$57,29)="","　　年　　月　　日",INDEX('会費の受け取り'!$F$10:$F$57,29))</f>
      </c>
      <c r="K310" s="28"/>
      <c r="L310" s="28"/>
    </row>
    <row r="311" ht="26" customHeight="1" spans="1:11" x14ac:dyDescent="0.25">
      <c r="A311" s="26" t="s">
        <v>29</v>
      </c>
      <c r="B311" s="29">
        <f>INDEX('会費の受け取り'!$C$10:$C$57,29)&amp;""</f>
      </c>
      <c r="C311" s="29"/>
      <c r="D311" s="29"/>
      <c r="E311" s="24"/>
      <c r="F311" s="30">
        <f>INDEX('会費の受け取り'!$C$10:$C$57,29)&amp;""</f>
      </c>
      <c r="G311" s="30"/>
      <c r="H311" s="30"/>
      <c r="I311" s="30"/>
      <c r="J311" s="30"/>
      <c r="K311" s="31" t="s">
        <v>49</v>
      </c>
    </row>
    <row r="312" ht="32" customHeight="1" spans="1:11" x14ac:dyDescent="0.25">
      <c r="A312" s="26" t="s">
        <v>50</v>
      </c>
      <c r="B312" s="32">
        <f>IF(INDEX('会費の受け取り'!$C$10:$C$57,29)="","",IF(INDEX('会費の受け取り'!$D$10:$D$57,29)="",N('会費の受け取り'!$B$5),INDEX('会費の受け取り'!$D$10:$D$57,29)))</f>
      </c>
      <c r="C312" s="32"/>
      <c r="D312" s="32"/>
      <c r="E312" s="24"/>
      <c r="F312" s="23" t="s">
        <v>50</v>
      </c>
      <c r="G312" s="33">
        <f>IF(INDEX('会費の受け取り'!$C$10:$C$57,29)="","",IF(INDEX('会費の受け取り'!$D$10:$D$57,29)="",N('会費の受け取り'!$B$5),INDEX('会費の受け取り'!$D$10:$D$57,29)))</f>
      </c>
      <c r="H312" s="33"/>
      <c r="I312" s="33"/>
      <c r="J312" s="33"/>
      <c r="K312" s="33"/>
    </row>
    <row r="313" ht="38" customHeight="1" spans="1:12" x14ac:dyDescent="0.25">
      <c r="A313" s="26" t="s">
        <v>51</v>
      </c>
      <c r="B313" s="34">
        <f>IF(INDEX('会費の受け取り'!$C$10:$C$57,29)="","",IF(INDEX('会費の受け取り'!$E$10:$E$57,29)&amp;""&lt;&gt;"",INDEX('会費の受け取り'!$E$10:$E$57,29)&amp;"",'会費の受け取り'!$B$6&amp;""))</f>
      </c>
      <c r="C313" s="34"/>
      <c r="D313" s="34"/>
      <c r="E313" s="24"/>
      <c r="F313" s="35">
        <f>"但し "&amp;IF(INDEX('会費の受け取り'!$C$10:$C$57,29)="","",IF(INDEX('会費の受け取り'!$E$10:$E$57,29)&amp;""&lt;&gt;"",INDEX('会費の受け取り'!$E$10:$E$57,29)&amp;"",'会費の受け取り'!$B$6&amp;""))</f>
      </c>
      <c r="G313" s="35"/>
      <c r="H313" s="35"/>
      <c r="I313" s="35"/>
      <c r="J313" s="35"/>
      <c r="K313" s="35"/>
      <c r="L313" s="35"/>
    </row>
    <row r="314" ht="22" customHeight="1" spans="1:12" x14ac:dyDescent="0.25">
      <c r="A314" s="26" t="s">
        <v>33</v>
      </c>
      <c r="B314" s="29">
        <f>IF(INDEX('会費の受け取り'!$G$10:$G$57,29)&amp;""&lt;&gt;"",INDEX('会費の受け取り'!$G$10:$G$57,29)&amp;"",'会費の受け取り'!$B$4&amp;"")</f>
      </c>
      <c r="C314" s="29"/>
      <c r="D314" s="29"/>
      <c r="E314" s="24"/>
      <c r="F314" s="36" t="s">
        <v>52</v>
      </c>
      <c r="G314" s="36"/>
      <c r="H314" s="36"/>
      <c r="I314" s="36"/>
      <c r="J314" s="36"/>
      <c r="K314" s="36"/>
      <c r="L314" s="36"/>
    </row>
    <row r="315" ht="20" customHeight="1" spans="1:5" x14ac:dyDescent="0.25">
      <c r="A315" s="37">
        <f>IF(INDEX('会費の受け取り'!$H$10:$H$57,29)&amp;""="書き損じ","書き損じ","")</f>
      </c>
      <c r="B315" s="37"/>
      <c r="C315" s="37"/>
      <c r="D315" s="37"/>
      <c r="E315" s="24"/>
    </row>
    <row r="316" ht="22" customHeight="1" spans="5:12" x14ac:dyDescent="0.25">
      <c r="E316" s="24"/>
      <c r="H316" s="38">
        <f>IF('会費の受け取り'!$B$3="","",'会費の受け取り'!$B$3)</f>
      </c>
      <c r="I316" s="38"/>
      <c r="J316" s="38"/>
      <c r="K316" s="38"/>
      <c r="L316" s="38"/>
    </row>
    <row r="317" ht="28" customHeight="1" spans="5:12" x14ac:dyDescent="0.25">
      <c r="E317" s="24"/>
      <c r="H317" s="39">
        <f>IF(INDEX('会費の受け取り'!$G$10:$G$57,29)&amp;""&lt;&gt;"",INDEX('会費の受け取り'!$G$10:$G$57,29)&amp;"",'会費の受け取り'!$B$4&amp;"")</f>
      </c>
      <c r="I317" s="39"/>
      <c r="J317" s="39"/>
      <c r="K317" s="39"/>
      <c r="L317" s="40" t="s">
        <v>53</v>
      </c>
    </row>
    <row r="318" ht="10" customHeight="1" spans="5:5" x14ac:dyDescent="0.25">
      <c r="E318" s="24"/>
    </row>
    <row r="319" ht="12" customHeight="1" spans="1:12" x14ac:dyDescent="0.25">
      <c r="A319" s="41"/>
      <c r="B319" s="41"/>
      <c r="C319" s="41"/>
      <c r="D319" s="41"/>
      <c r="E319" s="42"/>
      <c r="F319" s="41"/>
      <c r="G319" s="41"/>
      <c r="H319" s="41"/>
      <c r="I319" s="41"/>
      <c r="J319" s="41"/>
      <c r="K319" s="41"/>
      <c r="L319" s="41"/>
    </row>
    <row r="320" ht="28" customHeight="1" spans="1:12" x14ac:dyDescent="0.25">
      <c r="A320" s="21" t="s">
        <v>46</v>
      </c>
      <c r="C320" s="22" t="s">
        <v>47</v>
      </c>
      <c r="D320" s="23">
        <f>INDEX('会費の受け取り'!$A$10:$A$57,30)&amp;""</f>
      </c>
      <c r="E320" s="24"/>
      <c r="F320" s="25">
        <f>IF(INDEX('会費の受け取り'!$H$10:$H$57,30)&amp;""="書き損じ","書き損じ","領　収　書")</f>
      </c>
      <c r="G320" s="25"/>
      <c r="H320" s="25"/>
      <c r="I320" s="25"/>
      <c r="J320" s="25"/>
      <c r="K320" s="22" t="s">
        <v>47</v>
      </c>
      <c r="L320" s="23">
        <f>INDEX('会費の受け取り'!$A$10:$A$57,30)&amp;""</f>
      </c>
    </row>
    <row r="321" ht="22" customHeight="1" spans="1:12" x14ac:dyDescent="0.25">
      <c r="A321" s="26" t="s">
        <v>48</v>
      </c>
      <c r="B321" s="27">
        <f>IF(INDEX('会費の受け取り'!$F$10:$F$57,30)="","　　年　　月　　日",INDEX('会費の受け取り'!$F$10:$F$57,30))</f>
      </c>
      <c r="C321" s="27"/>
      <c r="D321" s="27"/>
      <c r="E321" s="24"/>
      <c r="J321" s="28">
        <f>IF(INDEX('会費の受け取り'!$F$10:$F$57,30)="","　　年　　月　　日",INDEX('会費の受け取り'!$F$10:$F$57,30))</f>
      </c>
      <c r="K321" s="28"/>
      <c r="L321" s="28"/>
    </row>
    <row r="322" ht="26" customHeight="1" spans="1:11" x14ac:dyDescent="0.25">
      <c r="A322" s="26" t="s">
        <v>29</v>
      </c>
      <c r="B322" s="29">
        <f>INDEX('会費の受け取り'!$C$10:$C$57,30)&amp;""</f>
      </c>
      <c r="C322" s="29"/>
      <c r="D322" s="29"/>
      <c r="E322" s="24"/>
      <c r="F322" s="30">
        <f>INDEX('会費の受け取り'!$C$10:$C$57,30)&amp;""</f>
      </c>
      <c r="G322" s="30"/>
      <c r="H322" s="30"/>
      <c r="I322" s="30"/>
      <c r="J322" s="30"/>
      <c r="K322" s="31" t="s">
        <v>49</v>
      </c>
    </row>
    <row r="323" ht="32" customHeight="1" spans="1:11" x14ac:dyDescent="0.25">
      <c r="A323" s="26" t="s">
        <v>50</v>
      </c>
      <c r="B323" s="32">
        <f>IF(INDEX('会費の受け取り'!$C$10:$C$57,30)="","",IF(INDEX('会費の受け取り'!$D$10:$D$57,30)="",N('会費の受け取り'!$B$5),INDEX('会費の受け取り'!$D$10:$D$57,30)))</f>
      </c>
      <c r="C323" s="32"/>
      <c r="D323" s="32"/>
      <c r="E323" s="24"/>
      <c r="F323" s="23" t="s">
        <v>50</v>
      </c>
      <c r="G323" s="33">
        <f>IF(INDEX('会費の受け取り'!$C$10:$C$57,30)="","",IF(INDEX('会費の受け取り'!$D$10:$D$57,30)="",N('会費の受け取り'!$B$5),INDEX('会費の受け取り'!$D$10:$D$57,30)))</f>
      </c>
      <c r="H323" s="33"/>
      <c r="I323" s="33"/>
      <c r="J323" s="33"/>
      <c r="K323" s="33"/>
    </row>
    <row r="324" ht="38" customHeight="1" spans="1:12" x14ac:dyDescent="0.25">
      <c r="A324" s="26" t="s">
        <v>51</v>
      </c>
      <c r="B324" s="34">
        <f>IF(INDEX('会費の受け取り'!$C$10:$C$57,30)="","",IF(INDEX('会費の受け取り'!$E$10:$E$57,30)&amp;""&lt;&gt;"",INDEX('会費の受け取り'!$E$10:$E$57,30)&amp;"",'会費の受け取り'!$B$6&amp;""))</f>
      </c>
      <c r="C324" s="34"/>
      <c r="D324" s="34"/>
      <c r="E324" s="24"/>
      <c r="F324" s="35">
        <f>"但し "&amp;IF(INDEX('会費の受け取り'!$C$10:$C$57,30)="","",IF(INDEX('会費の受け取り'!$E$10:$E$57,30)&amp;""&lt;&gt;"",INDEX('会費の受け取り'!$E$10:$E$57,30)&amp;"",'会費の受け取り'!$B$6&amp;""))</f>
      </c>
      <c r="G324" s="35"/>
      <c r="H324" s="35"/>
      <c r="I324" s="35"/>
      <c r="J324" s="35"/>
      <c r="K324" s="35"/>
      <c r="L324" s="35"/>
    </row>
    <row r="325" ht="22" customHeight="1" spans="1:12" x14ac:dyDescent="0.25">
      <c r="A325" s="26" t="s">
        <v>33</v>
      </c>
      <c r="B325" s="29">
        <f>IF(INDEX('会費の受け取り'!$G$10:$G$57,30)&amp;""&lt;&gt;"",INDEX('会費の受け取り'!$G$10:$G$57,30)&amp;"",'会費の受け取り'!$B$4&amp;"")</f>
      </c>
      <c r="C325" s="29"/>
      <c r="D325" s="29"/>
      <c r="E325" s="24"/>
      <c r="F325" s="36" t="s">
        <v>52</v>
      </c>
      <c r="G325" s="36"/>
      <c r="H325" s="36"/>
      <c r="I325" s="36"/>
      <c r="J325" s="36"/>
      <c r="K325" s="36"/>
      <c r="L325" s="36"/>
    </row>
    <row r="326" ht="20" customHeight="1" spans="1:5" x14ac:dyDescent="0.25">
      <c r="A326" s="37">
        <f>IF(INDEX('会費の受け取り'!$H$10:$H$57,30)&amp;""="書き損じ","書き損じ","")</f>
      </c>
      <c r="B326" s="37"/>
      <c r="C326" s="37"/>
      <c r="D326" s="37"/>
      <c r="E326" s="24"/>
    </row>
    <row r="327" ht="22" customHeight="1" spans="5:12" x14ac:dyDescent="0.25">
      <c r="E327" s="24"/>
      <c r="H327" s="38">
        <f>IF('会費の受け取り'!$B$3="","",'会費の受け取り'!$B$3)</f>
      </c>
      <c r="I327" s="38"/>
      <c r="J327" s="38"/>
      <c r="K327" s="38"/>
      <c r="L327" s="38"/>
    </row>
    <row r="328" ht="28" customHeight="1" spans="5:12" x14ac:dyDescent="0.25">
      <c r="E328" s="24"/>
      <c r="H328" s="39">
        <f>IF(INDEX('会費の受け取り'!$G$10:$G$57,30)&amp;""&lt;&gt;"",INDEX('会費の受け取り'!$G$10:$G$57,30)&amp;"",'会費の受け取り'!$B$4&amp;"")</f>
      </c>
      <c r="I328" s="39"/>
      <c r="J328" s="39"/>
      <c r="K328" s="39"/>
      <c r="L328" s="40" t="s">
        <v>53</v>
      </c>
    </row>
    <row r="329" ht="10" customHeight="1" spans="5:5" x14ac:dyDescent="0.25">
      <c r="E329" s="24"/>
    </row>
    <row r="330" ht="12" customHeight="1" spans="1:12" x14ac:dyDescent="0.25">
      <c r="A330" s="41"/>
      <c r="B330" s="41"/>
      <c r="C330" s="41"/>
      <c r="D330" s="41"/>
      <c r="E330" s="42"/>
      <c r="F330" s="41"/>
      <c r="G330" s="41"/>
      <c r="H330" s="41"/>
      <c r="I330" s="41"/>
      <c r="J330" s="41"/>
      <c r="K330" s="41"/>
      <c r="L330" s="41"/>
    </row>
    <row r="331" ht="28" customHeight="1" spans="1:12" x14ac:dyDescent="0.25">
      <c r="A331" s="21" t="s">
        <v>46</v>
      </c>
      <c r="C331" s="22" t="s">
        <v>47</v>
      </c>
      <c r="D331" s="23">
        <f>INDEX('会費の受け取り'!$A$10:$A$57,31)&amp;""</f>
      </c>
      <c r="E331" s="24"/>
      <c r="F331" s="25">
        <f>IF(INDEX('会費の受け取り'!$H$10:$H$57,31)&amp;""="書き損じ","書き損じ","領　収　書")</f>
      </c>
      <c r="G331" s="25"/>
      <c r="H331" s="25"/>
      <c r="I331" s="25"/>
      <c r="J331" s="25"/>
      <c r="K331" s="22" t="s">
        <v>47</v>
      </c>
      <c r="L331" s="23">
        <f>INDEX('会費の受け取り'!$A$10:$A$57,31)&amp;""</f>
      </c>
    </row>
    <row r="332" ht="22" customHeight="1" spans="1:12" x14ac:dyDescent="0.25">
      <c r="A332" s="26" t="s">
        <v>48</v>
      </c>
      <c r="B332" s="27">
        <f>IF(INDEX('会費の受け取り'!$F$10:$F$57,31)="","　　年　　月　　日",INDEX('会費の受け取り'!$F$10:$F$57,31))</f>
      </c>
      <c r="C332" s="27"/>
      <c r="D332" s="27"/>
      <c r="E332" s="24"/>
      <c r="J332" s="28">
        <f>IF(INDEX('会費の受け取り'!$F$10:$F$57,31)="","　　年　　月　　日",INDEX('会費の受け取り'!$F$10:$F$57,31))</f>
      </c>
      <c r="K332" s="28"/>
      <c r="L332" s="28"/>
    </row>
    <row r="333" ht="26" customHeight="1" spans="1:11" x14ac:dyDescent="0.25">
      <c r="A333" s="26" t="s">
        <v>29</v>
      </c>
      <c r="B333" s="29">
        <f>INDEX('会費の受け取り'!$C$10:$C$57,31)&amp;""</f>
      </c>
      <c r="C333" s="29"/>
      <c r="D333" s="29"/>
      <c r="E333" s="24"/>
      <c r="F333" s="30">
        <f>INDEX('会費の受け取り'!$C$10:$C$57,31)&amp;""</f>
      </c>
      <c r="G333" s="30"/>
      <c r="H333" s="30"/>
      <c r="I333" s="30"/>
      <c r="J333" s="30"/>
      <c r="K333" s="31" t="s">
        <v>49</v>
      </c>
    </row>
    <row r="334" ht="32" customHeight="1" spans="1:11" x14ac:dyDescent="0.25">
      <c r="A334" s="26" t="s">
        <v>50</v>
      </c>
      <c r="B334" s="32">
        <f>IF(INDEX('会費の受け取り'!$C$10:$C$57,31)="","",IF(INDEX('会費の受け取り'!$D$10:$D$57,31)="",N('会費の受け取り'!$B$5),INDEX('会費の受け取り'!$D$10:$D$57,31)))</f>
      </c>
      <c r="C334" s="32"/>
      <c r="D334" s="32"/>
      <c r="E334" s="24"/>
      <c r="F334" s="23" t="s">
        <v>50</v>
      </c>
      <c r="G334" s="33">
        <f>IF(INDEX('会費の受け取り'!$C$10:$C$57,31)="","",IF(INDEX('会費の受け取り'!$D$10:$D$57,31)="",N('会費の受け取り'!$B$5),INDEX('会費の受け取り'!$D$10:$D$57,31)))</f>
      </c>
      <c r="H334" s="33"/>
      <c r="I334" s="33"/>
      <c r="J334" s="33"/>
      <c r="K334" s="33"/>
    </row>
    <row r="335" ht="38" customHeight="1" spans="1:12" x14ac:dyDescent="0.25">
      <c r="A335" s="26" t="s">
        <v>51</v>
      </c>
      <c r="B335" s="34">
        <f>IF(INDEX('会費の受け取り'!$C$10:$C$57,31)="","",IF(INDEX('会費の受け取り'!$E$10:$E$57,31)&amp;""&lt;&gt;"",INDEX('会費の受け取り'!$E$10:$E$57,31)&amp;"",'会費の受け取り'!$B$6&amp;""))</f>
      </c>
      <c r="C335" s="34"/>
      <c r="D335" s="34"/>
      <c r="E335" s="24"/>
      <c r="F335" s="35">
        <f>"但し "&amp;IF(INDEX('会費の受け取り'!$C$10:$C$57,31)="","",IF(INDEX('会費の受け取り'!$E$10:$E$57,31)&amp;""&lt;&gt;"",INDEX('会費の受け取り'!$E$10:$E$57,31)&amp;"",'会費の受け取り'!$B$6&amp;""))</f>
      </c>
      <c r="G335" s="35"/>
      <c r="H335" s="35"/>
      <c r="I335" s="35"/>
      <c r="J335" s="35"/>
      <c r="K335" s="35"/>
      <c r="L335" s="35"/>
    </row>
    <row r="336" ht="22" customHeight="1" spans="1:12" x14ac:dyDescent="0.25">
      <c r="A336" s="26" t="s">
        <v>33</v>
      </c>
      <c r="B336" s="29">
        <f>IF(INDEX('会費の受け取り'!$G$10:$G$57,31)&amp;""&lt;&gt;"",INDEX('会費の受け取り'!$G$10:$G$57,31)&amp;"",'会費の受け取り'!$B$4&amp;"")</f>
      </c>
      <c r="C336" s="29"/>
      <c r="D336" s="29"/>
      <c r="E336" s="24"/>
      <c r="F336" s="36" t="s">
        <v>52</v>
      </c>
      <c r="G336" s="36"/>
      <c r="H336" s="36"/>
      <c r="I336" s="36"/>
      <c r="J336" s="36"/>
      <c r="K336" s="36"/>
      <c r="L336" s="36"/>
    </row>
    <row r="337" ht="20" customHeight="1" spans="1:5" x14ac:dyDescent="0.25">
      <c r="A337" s="37">
        <f>IF(INDEX('会費の受け取り'!$H$10:$H$57,31)&amp;""="書き損じ","書き損じ","")</f>
      </c>
      <c r="B337" s="37"/>
      <c r="C337" s="37"/>
      <c r="D337" s="37"/>
      <c r="E337" s="24"/>
    </row>
    <row r="338" ht="22" customHeight="1" spans="5:12" x14ac:dyDescent="0.25">
      <c r="E338" s="24"/>
      <c r="H338" s="38">
        <f>IF('会費の受け取り'!$B$3="","",'会費の受け取り'!$B$3)</f>
      </c>
      <c r="I338" s="38"/>
      <c r="J338" s="38"/>
      <c r="K338" s="38"/>
      <c r="L338" s="38"/>
    </row>
    <row r="339" ht="28" customHeight="1" spans="5:12" x14ac:dyDescent="0.25">
      <c r="E339" s="24"/>
      <c r="H339" s="39">
        <f>IF(INDEX('会費の受け取り'!$G$10:$G$57,31)&amp;""&lt;&gt;"",INDEX('会費の受け取り'!$G$10:$G$57,31)&amp;"",'会費の受け取り'!$B$4&amp;"")</f>
      </c>
      <c r="I339" s="39"/>
      <c r="J339" s="39"/>
      <c r="K339" s="39"/>
      <c r="L339" s="40" t="s">
        <v>53</v>
      </c>
    </row>
    <row r="340" ht="10" customHeight="1" spans="5:5" x14ac:dyDescent="0.25">
      <c r="E340" s="24"/>
    </row>
    <row r="341" ht="12" customHeight="1" spans="1:12" x14ac:dyDescent="0.25">
      <c r="A341" s="41"/>
      <c r="B341" s="41"/>
      <c r="C341" s="41"/>
      <c r="D341" s="41"/>
      <c r="E341" s="42"/>
      <c r="F341" s="41"/>
      <c r="G341" s="41"/>
      <c r="H341" s="41"/>
      <c r="I341" s="41"/>
      <c r="J341" s="41"/>
      <c r="K341" s="41"/>
      <c r="L341" s="41"/>
    </row>
    <row r="342" ht="28" customHeight="1" spans="1:12" x14ac:dyDescent="0.25">
      <c r="A342" s="21" t="s">
        <v>46</v>
      </c>
      <c r="C342" s="22" t="s">
        <v>47</v>
      </c>
      <c r="D342" s="23">
        <f>INDEX('会費の受け取り'!$A$10:$A$57,32)&amp;""</f>
      </c>
      <c r="E342" s="24"/>
      <c r="F342" s="25">
        <f>IF(INDEX('会費の受け取り'!$H$10:$H$57,32)&amp;""="書き損じ","書き損じ","領　収　書")</f>
      </c>
      <c r="G342" s="25"/>
      <c r="H342" s="25"/>
      <c r="I342" s="25"/>
      <c r="J342" s="25"/>
      <c r="K342" s="22" t="s">
        <v>47</v>
      </c>
      <c r="L342" s="23">
        <f>INDEX('会費の受け取り'!$A$10:$A$57,32)&amp;""</f>
      </c>
    </row>
    <row r="343" ht="22" customHeight="1" spans="1:12" x14ac:dyDescent="0.25">
      <c r="A343" s="26" t="s">
        <v>48</v>
      </c>
      <c r="B343" s="27">
        <f>IF(INDEX('会費の受け取り'!$F$10:$F$57,32)="","　　年　　月　　日",INDEX('会費の受け取り'!$F$10:$F$57,32))</f>
      </c>
      <c r="C343" s="27"/>
      <c r="D343" s="27"/>
      <c r="E343" s="24"/>
      <c r="J343" s="28">
        <f>IF(INDEX('会費の受け取り'!$F$10:$F$57,32)="","　　年　　月　　日",INDEX('会費の受け取り'!$F$10:$F$57,32))</f>
      </c>
      <c r="K343" s="28"/>
      <c r="L343" s="28"/>
    </row>
    <row r="344" ht="26" customHeight="1" spans="1:11" x14ac:dyDescent="0.25">
      <c r="A344" s="26" t="s">
        <v>29</v>
      </c>
      <c r="B344" s="29">
        <f>INDEX('会費の受け取り'!$C$10:$C$57,32)&amp;""</f>
      </c>
      <c r="C344" s="29"/>
      <c r="D344" s="29"/>
      <c r="E344" s="24"/>
      <c r="F344" s="30">
        <f>INDEX('会費の受け取り'!$C$10:$C$57,32)&amp;""</f>
      </c>
      <c r="G344" s="30"/>
      <c r="H344" s="30"/>
      <c r="I344" s="30"/>
      <c r="J344" s="30"/>
      <c r="K344" s="31" t="s">
        <v>49</v>
      </c>
    </row>
    <row r="345" ht="32" customHeight="1" spans="1:11" x14ac:dyDescent="0.25">
      <c r="A345" s="26" t="s">
        <v>50</v>
      </c>
      <c r="B345" s="32">
        <f>IF(INDEX('会費の受け取り'!$C$10:$C$57,32)="","",IF(INDEX('会費の受け取り'!$D$10:$D$57,32)="",N('会費の受け取り'!$B$5),INDEX('会費の受け取り'!$D$10:$D$57,32)))</f>
      </c>
      <c r="C345" s="32"/>
      <c r="D345" s="32"/>
      <c r="E345" s="24"/>
      <c r="F345" s="23" t="s">
        <v>50</v>
      </c>
      <c r="G345" s="33">
        <f>IF(INDEX('会費の受け取り'!$C$10:$C$57,32)="","",IF(INDEX('会費の受け取り'!$D$10:$D$57,32)="",N('会費の受け取り'!$B$5),INDEX('会費の受け取り'!$D$10:$D$57,32)))</f>
      </c>
      <c r="H345" s="33"/>
      <c r="I345" s="33"/>
      <c r="J345" s="33"/>
      <c r="K345" s="33"/>
    </row>
    <row r="346" ht="38" customHeight="1" spans="1:12" x14ac:dyDescent="0.25">
      <c r="A346" s="26" t="s">
        <v>51</v>
      </c>
      <c r="B346" s="34">
        <f>IF(INDEX('会費の受け取り'!$C$10:$C$57,32)="","",IF(INDEX('会費の受け取り'!$E$10:$E$57,32)&amp;""&lt;&gt;"",INDEX('会費の受け取り'!$E$10:$E$57,32)&amp;"",'会費の受け取り'!$B$6&amp;""))</f>
      </c>
      <c r="C346" s="34"/>
      <c r="D346" s="34"/>
      <c r="E346" s="24"/>
      <c r="F346" s="35">
        <f>"但し "&amp;IF(INDEX('会費の受け取り'!$C$10:$C$57,32)="","",IF(INDEX('会費の受け取り'!$E$10:$E$57,32)&amp;""&lt;&gt;"",INDEX('会費の受け取り'!$E$10:$E$57,32)&amp;"",'会費の受け取り'!$B$6&amp;""))</f>
      </c>
      <c r="G346" s="35"/>
      <c r="H346" s="35"/>
      <c r="I346" s="35"/>
      <c r="J346" s="35"/>
      <c r="K346" s="35"/>
      <c r="L346" s="35"/>
    </row>
    <row r="347" ht="22" customHeight="1" spans="1:12" x14ac:dyDescent="0.25">
      <c r="A347" s="26" t="s">
        <v>33</v>
      </c>
      <c r="B347" s="29">
        <f>IF(INDEX('会費の受け取り'!$G$10:$G$57,32)&amp;""&lt;&gt;"",INDEX('会費の受け取り'!$G$10:$G$57,32)&amp;"",'会費の受け取り'!$B$4&amp;"")</f>
      </c>
      <c r="C347" s="29"/>
      <c r="D347" s="29"/>
      <c r="E347" s="24"/>
      <c r="F347" s="36" t="s">
        <v>52</v>
      </c>
      <c r="G347" s="36"/>
      <c r="H347" s="36"/>
      <c r="I347" s="36"/>
      <c r="J347" s="36"/>
      <c r="K347" s="36"/>
      <c r="L347" s="36"/>
    </row>
    <row r="348" ht="20" customHeight="1" spans="1:5" x14ac:dyDescent="0.25">
      <c r="A348" s="37">
        <f>IF(INDEX('会費の受け取り'!$H$10:$H$57,32)&amp;""="書き損じ","書き損じ","")</f>
      </c>
      <c r="B348" s="37"/>
      <c r="C348" s="37"/>
      <c r="D348" s="37"/>
      <c r="E348" s="24"/>
    </row>
    <row r="349" ht="22" customHeight="1" spans="5:12" x14ac:dyDescent="0.25">
      <c r="E349" s="24"/>
      <c r="H349" s="38">
        <f>IF('会費の受け取り'!$B$3="","",'会費の受け取り'!$B$3)</f>
      </c>
      <c r="I349" s="38"/>
      <c r="J349" s="38"/>
      <c r="K349" s="38"/>
      <c r="L349" s="38"/>
    </row>
    <row r="350" ht="28" customHeight="1" spans="5:12" x14ac:dyDescent="0.25">
      <c r="E350" s="24"/>
      <c r="H350" s="39">
        <f>IF(INDEX('会費の受け取り'!$G$10:$G$57,32)&amp;""&lt;&gt;"",INDEX('会費の受け取り'!$G$10:$G$57,32)&amp;"",'会費の受け取り'!$B$4&amp;"")</f>
      </c>
      <c r="I350" s="39"/>
      <c r="J350" s="39"/>
      <c r="K350" s="39"/>
      <c r="L350" s="40" t="s">
        <v>53</v>
      </c>
    </row>
    <row r="351" ht="10" customHeight="1" spans="5:5" x14ac:dyDescent="0.25">
      <c r="E351" s="24"/>
    </row>
    <row r="352" ht="12" customHeight="1" spans="1:12" x14ac:dyDescent="0.25">
      <c r="A352" s="41"/>
      <c r="B352" s="41"/>
      <c r="C352" s="41"/>
      <c r="D352" s="41"/>
      <c r="E352" s="42"/>
      <c r="F352" s="41"/>
      <c r="G352" s="41"/>
      <c r="H352" s="41"/>
      <c r="I352" s="41"/>
      <c r="J352" s="41"/>
      <c r="K352" s="41"/>
      <c r="L352" s="41"/>
    </row>
    <row r="353" ht="28" customHeight="1" spans="1:12" x14ac:dyDescent="0.25">
      <c r="A353" s="21" t="s">
        <v>46</v>
      </c>
      <c r="C353" s="22" t="s">
        <v>47</v>
      </c>
      <c r="D353" s="23">
        <f>INDEX('会費の受け取り'!$A$10:$A$57,33)&amp;""</f>
      </c>
      <c r="E353" s="24"/>
      <c r="F353" s="25">
        <f>IF(INDEX('会費の受け取り'!$H$10:$H$57,33)&amp;""="書き損じ","書き損じ","領　収　書")</f>
      </c>
      <c r="G353" s="25"/>
      <c r="H353" s="25"/>
      <c r="I353" s="25"/>
      <c r="J353" s="25"/>
      <c r="K353" s="22" t="s">
        <v>47</v>
      </c>
      <c r="L353" s="23">
        <f>INDEX('会費の受け取り'!$A$10:$A$57,33)&amp;""</f>
      </c>
    </row>
    <row r="354" ht="22" customHeight="1" spans="1:12" x14ac:dyDescent="0.25">
      <c r="A354" s="26" t="s">
        <v>48</v>
      </c>
      <c r="B354" s="27">
        <f>IF(INDEX('会費の受け取り'!$F$10:$F$57,33)="","　　年　　月　　日",INDEX('会費の受け取り'!$F$10:$F$57,33))</f>
      </c>
      <c r="C354" s="27"/>
      <c r="D354" s="27"/>
      <c r="E354" s="24"/>
      <c r="J354" s="28">
        <f>IF(INDEX('会費の受け取り'!$F$10:$F$57,33)="","　　年　　月　　日",INDEX('会費の受け取り'!$F$10:$F$57,33))</f>
      </c>
      <c r="K354" s="28"/>
      <c r="L354" s="28"/>
    </row>
    <row r="355" ht="26" customHeight="1" spans="1:11" x14ac:dyDescent="0.25">
      <c r="A355" s="26" t="s">
        <v>29</v>
      </c>
      <c r="B355" s="29">
        <f>INDEX('会費の受け取り'!$C$10:$C$57,33)&amp;""</f>
      </c>
      <c r="C355" s="29"/>
      <c r="D355" s="29"/>
      <c r="E355" s="24"/>
      <c r="F355" s="30">
        <f>INDEX('会費の受け取り'!$C$10:$C$57,33)&amp;""</f>
      </c>
      <c r="G355" s="30"/>
      <c r="H355" s="30"/>
      <c r="I355" s="30"/>
      <c r="J355" s="30"/>
      <c r="K355" s="31" t="s">
        <v>49</v>
      </c>
    </row>
    <row r="356" ht="32" customHeight="1" spans="1:11" x14ac:dyDescent="0.25">
      <c r="A356" s="26" t="s">
        <v>50</v>
      </c>
      <c r="B356" s="32">
        <f>IF(INDEX('会費の受け取り'!$C$10:$C$57,33)="","",IF(INDEX('会費の受け取り'!$D$10:$D$57,33)="",N('会費の受け取り'!$B$5),INDEX('会費の受け取り'!$D$10:$D$57,33)))</f>
      </c>
      <c r="C356" s="32"/>
      <c r="D356" s="32"/>
      <c r="E356" s="24"/>
      <c r="F356" s="23" t="s">
        <v>50</v>
      </c>
      <c r="G356" s="33">
        <f>IF(INDEX('会費の受け取り'!$C$10:$C$57,33)="","",IF(INDEX('会費の受け取り'!$D$10:$D$57,33)="",N('会費の受け取り'!$B$5),INDEX('会費の受け取り'!$D$10:$D$57,33)))</f>
      </c>
      <c r="H356" s="33"/>
      <c r="I356" s="33"/>
      <c r="J356" s="33"/>
      <c r="K356" s="33"/>
    </row>
    <row r="357" ht="38" customHeight="1" spans="1:12" x14ac:dyDescent="0.25">
      <c r="A357" s="26" t="s">
        <v>51</v>
      </c>
      <c r="B357" s="34">
        <f>IF(INDEX('会費の受け取り'!$C$10:$C$57,33)="","",IF(INDEX('会費の受け取り'!$E$10:$E$57,33)&amp;""&lt;&gt;"",INDEX('会費の受け取り'!$E$10:$E$57,33)&amp;"",'会費の受け取り'!$B$6&amp;""))</f>
      </c>
      <c r="C357" s="34"/>
      <c r="D357" s="34"/>
      <c r="E357" s="24"/>
      <c r="F357" s="35">
        <f>"但し "&amp;IF(INDEX('会費の受け取り'!$C$10:$C$57,33)="","",IF(INDEX('会費の受け取り'!$E$10:$E$57,33)&amp;""&lt;&gt;"",INDEX('会費の受け取り'!$E$10:$E$57,33)&amp;"",'会費の受け取り'!$B$6&amp;""))</f>
      </c>
      <c r="G357" s="35"/>
      <c r="H357" s="35"/>
      <c r="I357" s="35"/>
      <c r="J357" s="35"/>
      <c r="K357" s="35"/>
      <c r="L357" s="35"/>
    </row>
    <row r="358" ht="22" customHeight="1" spans="1:12" x14ac:dyDescent="0.25">
      <c r="A358" s="26" t="s">
        <v>33</v>
      </c>
      <c r="B358" s="29">
        <f>IF(INDEX('会費の受け取り'!$G$10:$G$57,33)&amp;""&lt;&gt;"",INDEX('会費の受け取り'!$G$10:$G$57,33)&amp;"",'会費の受け取り'!$B$4&amp;"")</f>
      </c>
      <c r="C358" s="29"/>
      <c r="D358" s="29"/>
      <c r="E358" s="24"/>
      <c r="F358" s="36" t="s">
        <v>52</v>
      </c>
      <c r="G358" s="36"/>
      <c r="H358" s="36"/>
      <c r="I358" s="36"/>
      <c r="J358" s="36"/>
      <c r="K358" s="36"/>
      <c r="L358" s="36"/>
    </row>
    <row r="359" ht="20" customHeight="1" spans="1:5" x14ac:dyDescent="0.25">
      <c r="A359" s="37">
        <f>IF(INDEX('会費の受け取り'!$H$10:$H$57,33)&amp;""="書き損じ","書き損じ","")</f>
      </c>
      <c r="B359" s="37"/>
      <c r="C359" s="37"/>
      <c r="D359" s="37"/>
      <c r="E359" s="24"/>
    </row>
    <row r="360" ht="22" customHeight="1" spans="5:12" x14ac:dyDescent="0.25">
      <c r="E360" s="24"/>
      <c r="H360" s="38">
        <f>IF('会費の受け取り'!$B$3="","",'会費の受け取り'!$B$3)</f>
      </c>
      <c r="I360" s="38"/>
      <c r="J360" s="38"/>
      <c r="K360" s="38"/>
      <c r="L360" s="38"/>
    </row>
    <row r="361" ht="28" customHeight="1" spans="5:12" x14ac:dyDescent="0.25">
      <c r="E361" s="24"/>
      <c r="H361" s="39">
        <f>IF(INDEX('会費の受け取り'!$G$10:$G$57,33)&amp;""&lt;&gt;"",INDEX('会費の受け取り'!$G$10:$G$57,33)&amp;"",'会費の受け取り'!$B$4&amp;"")</f>
      </c>
      <c r="I361" s="39"/>
      <c r="J361" s="39"/>
      <c r="K361" s="39"/>
      <c r="L361" s="40" t="s">
        <v>53</v>
      </c>
    </row>
    <row r="362" ht="10" customHeight="1" spans="5:5" x14ac:dyDescent="0.25">
      <c r="E362" s="24"/>
    </row>
    <row r="363" ht="12" customHeight="1" spans="1:12" x14ac:dyDescent="0.25">
      <c r="A363" s="41"/>
      <c r="B363" s="41"/>
      <c r="C363" s="41"/>
      <c r="D363" s="41"/>
      <c r="E363" s="42"/>
      <c r="F363" s="41"/>
      <c r="G363" s="41"/>
      <c r="H363" s="41"/>
      <c r="I363" s="41"/>
      <c r="J363" s="41"/>
      <c r="K363" s="41"/>
      <c r="L363" s="41"/>
    </row>
    <row r="364" ht="28" customHeight="1" spans="1:12" x14ac:dyDescent="0.25">
      <c r="A364" s="21" t="s">
        <v>46</v>
      </c>
      <c r="C364" s="22" t="s">
        <v>47</v>
      </c>
      <c r="D364" s="23">
        <f>INDEX('会費の受け取り'!$A$10:$A$57,34)&amp;""</f>
      </c>
      <c r="E364" s="24"/>
      <c r="F364" s="25">
        <f>IF(INDEX('会費の受け取り'!$H$10:$H$57,34)&amp;""="書き損じ","書き損じ","領　収　書")</f>
      </c>
      <c r="G364" s="25"/>
      <c r="H364" s="25"/>
      <c r="I364" s="25"/>
      <c r="J364" s="25"/>
      <c r="K364" s="22" t="s">
        <v>47</v>
      </c>
      <c r="L364" s="23">
        <f>INDEX('会費の受け取り'!$A$10:$A$57,34)&amp;""</f>
      </c>
    </row>
    <row r="365" ht="22" customHeight="1" spans="1:12" x14ac:dyDescent="0.25">
      <c r="A365" s="26" t="s">
        <v>48</v>
      </c>
      <c r="B365" s="27">
        <f>IF(INDEX('会費の受け取り'!$F$10:$F$57,34)="","　　年　　月　　日",INDEX('会費の受け取り'!$F$10:$F$57,34))</f>
      </c>
      <c r="C365" s="27"/>
      <c r="D365" s="27"/>
      <c r="E365" s="24"/>
      <c r="J365" s="28">
        <f>IF(INDEX('会費の受け取り'!$F$10:$F$57,34)="","　　年　　月　　日",INDEX('会費の受け取り'!$F$10:$F$57,34))</f>
      </c>
      <c r="K365" s="28"/>
      <c r="L365" s="28"/>
    </row>
    <row r="366" ht="26" customHeight="1" spans="1:11" x14ac:dyDescent="0.25">
      <c r="A366" s="26" t="s">
        <v>29</v>
      </c>
      <c r="B366" s="29">
        <f>INDEX('会費の受け取り'!$C$10:$C$57,34)&amp;""</f>
      </c>
      <c r="C366" s="29"/>
      <c r="D366" s="29"/>
      <c r="E366" s="24"/>
      <c r="F366" s="30">
        <f>INDEX('会費の受け取り'!$C$10:$C$57,34)&amp;""</f>
      </c>
      <c r="G366" s="30"/>
      <c r="H366" s="30"/>
      <c r="I366" s="30"/>
      <c r="J366" s="30"/>
      <c r="K366" s="31" t="s">
        <v>49</v>
      </c>
    </row>
    <row r="367" ht="32" customHeight="1" spans="1:11" x14ac:dyDescent="0.25">
      <c r="A367" s="26" t="s">
        <v>50</v>
      </c>
      <c r="B367" s="32">
        <f>IF(INDEX('会費の受け取り'!$C$10:$C$57,34)="","",IF(INDEX('会費の受け取り'!$D$10:$D$57,34)="",N('会費の受け取り'!$B$5),INDEX('会費の受け取り'!$D$10:$D$57,34)))</f>
      </c>
      <c r="C367" s="32"/>
      <c r="D367" s="32"/>
      <c r="E367" s="24"/>
      <c r="F367" s="23" t="s">
        <v>50</v>
      </c>
      <c r="G367" s="33">
        <f>IF(INDEX('会費の受け取り'!$C$10:$C$57,34)="","",IF(INDEX('会費の受け取り'!$D$10:$D$57,34)="",N('会費の受け取り'!$B$5),INDEX('会費の受け取り'!$D$10:$D$57,34)))</f>
      </c>
      <c r="H367" s="33"/>
      <c r="I367" s="33"/>
      <c r="J367" s="33"/>
      <c r="K367" s="33"/>
    </row>
    <row r="368" ht="38" customHeight="1" spans="1:12" x14ac:dyDescent="0.25">
      <c r="A368" s="26" t="s">
        <v>51</v>
      </c>
      <c r="B368" s="34">
        <f>IF(INDEX('会費の受け取り'!$C$10:$C$57,34)="","",IF(INDEX('会費の受け取り'!$E$10:$E$57,34)&amp;""&lt;&gt;"",INDEX('会費の受け取り'!$E$10:$E$57,34)&amp;"",'会費の受け取り'!$B$6&amp;""))</f>
      </c>
      <c r="C368" s="34"/>
      <c r="D368" s="34"/>
      <c r="E368" s="24"/>
      <c r="F368" s="35">
        <f>"但し "&amp;IF(INDEX('会費の受け取り'!$C$10:$C$57,34)="","",IF(INDEX('会費の受け取り'!$E$10:$E$57,34)&amp;""&lt;&gt;"",INDEX('会費の受け取り'!$E$10:$E$57,34)&amp;"",'会費の受け取り'!$B$6&amp;""))</f>
      </c>
      <c r="G368" s="35"/>
      <c r="H368" s="35"/>
      <c r="I368" s="35"/>
      <c r="J368" s="35"/>
      <c r="K368" s="35"/>
      <c r="L368" s="35"/>
    </row>
    <row r="369" ht="22" customHeight="1" spans="1:12" x14ac:dyDescent="0.25">
      <c r="A369" s="26" t="s">
        <v>33</v>
      </c>
      <c r="B369" s="29">
        <f>IF(INDEX('会費の受け取り'!$G$10:$G$57,34)&amp;""&lt;&gt;"",INDEX('会費の受け取り'!$G$10:$G$57,34)&amp;"",'会費の受け取り'!$B$4&amp;"")</f>
      </c>
      <c r="C369" s="29"/>
      <c r="D369" s="29"/>
      <c r="E369" s="24"/>
      <c r="F369" s="36" t="s">
        <v>52</v>
      </c>
      <c r="G369" s="36"/>
      <c r="H369" s="36"/>
      <c r="I369" s="36"/>
      <c r="J369" s="36"/>
      <c r="K369" s="36"/>
      <c r="L369" s="36"/>
    </row>
    <row r="370" ht="20" customHeight="1" spans="1:5" x14ac:dyDescent="0.25">
      <c r="A370" s="37">
        <f>IF(INDEX('会費の受け取り'!$H$10:$H$57,34)&amp;""="書き損じ","書き損じ","")</f>
      </c>
      <c r="B370" s="37"/>
      <c r="C370" s="37"/>
      <c r="D370" s="37"/>
      <c r="E370" s="24"/>
    </row>
    <row r="371" ht="22" customHeight="1" spans="5:12" x14ac:dyDescent="0.25">
      <c r="E371" s="24"/>
      <c r="H371" s="38">
        <f>IF('会費の受け取り'!$B$3="","",'会費の受け取り'!$B$3)</f>
      </c>
      <c r="I371" s="38"/>
      <c r="J371" s="38"/>
      <c r="K371" s="38"/>
      <c r="L371" s="38"/>
    </row>
    <row r="372" ht="28" customHeight="1" spans="5:12" x14ac:dyDescent="0.25">
      <c r="E372" s="24"/>
      <c r="H372" s="39">
        <f>IF(INDEX('会費の受け取り'!$G$10:$G$57,34)&amp;""&lt;&gt;"",INDEX('会費の受け取り'!$G$10:$G$57,34)&amp;"",'会費の受け取り'!$B$4&amp;"")</f>
      </c>
      <c r="I372" s="39"/>
      <c r="J372" s="39"/>
      <c r="K372" s="39"/>
      <c r="L372" s="40" t="s">
        <v>53</v>
      </c>
    </row>
    <row r="373" ht="10" customHeight="1" spans="5:5" x14ac:dyDescent="0.25">
      <c r="E373" s="24"/>
    </row>
    <row r="374" ht="12" customHeight="1" spans="1:12" x14ac:dyDescent="0.25">
      <c r="A374" s="41"/>
      <c r="B374" s="41"/>
      <c r="C374" s="41"/>
      <c r="D374" s="41"/>
      <c r="E374" s="42"/>
      <c r="F374" s="41"/>
      <c r="G374" s="41"/>
      <c r="H374" s="41"/>
      <c r="I374" s="41"/>
      <c r="J374" s="41"/>
      <c r="K374" s="41"/>
      <c r="L374" s="41"/>
    </row>
    <row r="375" ht="28" customHeight="1" spans="1:12" x14ac:dyDescent="0.25">
      <c r="A375" s="21" t="s">
        <v>46</v>
      </c>
      <c r="C375" s="22" t="s">
        <v>47</v>
      </c>
      <c r="D375" s="23">
        <f>INDEX('会費の受け取り'!$A$10:$A$57,35)&amp;""</f>
      </c>
      <c r="E375" s="24"/>
      <c r="F375" s="25">
        <f>IF(INDEX('会費の受け取り'!$H$10:$H$57,35)&amp;""="書き損じ","書き損じ","領　収　書")</f>
      </c>
      <c r="G375" s="25"/>
      <c r="H375" s="25"/>
      <c r="I375" s="25"/>
      <c r="J375" s="25"/>
      <c r="K375" s="22" t="s">
        <v>47</v>
      </c>
      <c r="L375" s="23">
        <f>INDEX('会費の受け取り'!$A$10:$A$57,35)&amp;""</f>
      </c>
    </row>
    <row r="376" ht="22" customHeight="1" spans="1:12" x14ac:dyDescent="0.25">
      <c r="A376" s="26" t="s">
        <v>48</v>
      </c>
      <c r="B376" s="27">
        <f>IF(INDEX('会費の受け取り'!$F$10:$F$57,35)="","　　年　　月　　日",INDEX('会費の受け取り'!$F$10:$F$57,35))</f>
      </c>
      <c r="C376" s="27"/>
      <c r="D376" s="27"/>
      <c r="E376" s="24"/>
      <c r="J376" s="28">
        <f>IF(INDEX('会費の受け取り'!$F$10:$F$57,35)="","　　年　　月　　日",INDEX('会費の受け取り'!$F$10:$F$57,35))</f>
      </c>
      <c r="K376" s="28"/>
      <c r="L376" s="28"/>
    </row>
    <row r="377" ht="26" customHeight="1" spans="1:11" x14ac:dyDescent="0.25">
      <c r="A377" s="26" t="s">
        <v>29</v>
      </c>
      <c r="B377" s="29">
        <f>INDEX('会費の受け取り'!$C$10:$C$57,35)&amp;""</f>
      </c>
      <c r="C377" s="29"/>
      <c r="D377" s="29"/>
      <c r="E377" s="24"/>
      <c r="F377" s="30">
        <f>INDEX('会費の受け取り'!$C$10:$C$57,35)&amp;""</f>
      </c>
      <c r="G377" s="30"/>
      <c r="H377" s="30"/>
      <c r="I377" s="30"/>
      <c r="J377" s="30"/>
      <c r="K377" s="31" t="s">
        <v>49</v>
      </c>
    </row>
    <row r="378" ht="32" customHeight="1" spans="1:11" x14ac:dyDescent="0.25">
      <c r="A378" s="26" t="s">
        <v>50</v>
      </c>
      <c r="B378" s="32">
        <f>IF(INDEX('会費の受け取り'!$C$10:$C$57,35)="","",IF(INDEX('会費の受け取り'!$D$10:$D$57,35)="",N('会費の受け取り'!$B$5),INDEX('会費の受け取り'!$D$10:$D$57,35)))</f>
      </c>
      <c r="C378" s="32"/>
      <c r="D378" s="32"/>
      <c r="E378" s="24"/>
      <c r="F378" s="23" t="s">
        <v>50</v>
      </c>
      <c r="G378" s="33">
        <f>IF(INDEX('会費の受け取り'!$C$10:$C$57,35)="","",IF(INDEX('会費の受け取り'!$D$10:$D$57,35)="",N('会費の受け取り'!$B$5),INDEX('会費の受け取り'!$D$10:$D$57,35)))</f>
      </c>
      <c r="H378" s="33"/>
      <c r="I378" s="33"/>
      <c r="J378" s="33"/>
      <c r="K378" s="33"/>
    </row>
    <row r="379" ht="38" customHeight="1" spans="1:12" x14ac:dyDescent="0.25">
      <c r="A379" s="26" t="s">
        <v>51</v>
      </c>
      <c r="B379" s="34">
        <f>IF(INDEX('会費の受け取り'!$C$10:$C$57,35)="","",IF(INDEX('会費の受け取り'!$E$10:$E$57,35)&amp;""&lt;&gt;"",INDEX('会費の受け取り'!$E$10:$E$57,35)&amp;"",'会費の受け取り'!$B$6&amp;""))</f>
      </c>
      <c r="C379" s="34"/>
      <c r="D379" s="34"/>
      <c r="E379" s="24"/>
      <c r="F379" s="35">
        <f>"但し "&amp;IF(INDEX('会費の受け取り'!$C$10:$C$57,35)="","",IF(INDEX('会費の受け取り'!$E$10:$E$57,35)&amp;""&lt;&gt;"",INDEX('会費の受け取り'!$E$10:$E$57,35)&amp;"",'会費の受け取り'!$B$6&amp;""))</f>
      </c>
      <c r="G379" s="35"/>
      <c r="H379" s="35"/>
      <c r="I379" s="35"/>
      <c r="J379" s="35"/>
      <c r="K379" s="35"/>
      <c r="L379" s="35"/>
    </row>
    <row r="380" ht="22" customHeight="1" spans="1:12" x14ac:dyDescent="0.25">
      <c r="A380" s="26" t="s">
        <v>33</v>
      </c>
      <c r="B380" s="29">
        <f>IF(INDEX('会費の受け取り'!$G$10:$G$57,35)&amp;""&lt;&gt;"",INDEX('会費の受け取り'!$G$10:$G$57,35)&amp;"",'会費の受け取り'!$B$4&amp;"")</f>
      </c>
      <c r="C380" s="29"/>
      <c r="D380" s="29"/>
      <c r="E380" s="24"/>
      <c r="F380" s="36" t="s">
        <v>52</v>
      </c>
      <c r="G380" s="36"/>
      <c r="H380" s="36"/>
      <c r="I380" s="36"/>
      <c r="J380" s="36"/>
      <c r="K380" s="36"/>
      <c r="L380" s="36"/>
    </row>
    <row r="381" ht="20" customHeight="1" spans="1:5" x14ac:dyDescent="0.25">
      <c r="A381" s="37">
        <f>IF(INDEX('会費の受け取り'!$H$10:$H$57,35)&amp;""="書き損じ","書き損じ","")</f>
      </c>
      <c r="B381" s="37"/>
      <c r="C381" s="37"/>
      <c r="D381" s="37"/>
      <c r="E381" s="24"/>
    </row>
    <row r="382" ht="22" customHeight="1" spans="5:12" x14ac:dyDescent="0.25">
      <c r="E382" s="24"/>
      <c r="H382" s="38">
        <f>IF('会費の受け取り'!$B$3="","",'会費の受け取り'!$B$3)</f>
      </c>
      <c r="I382" s="38"/>
      <c r="J382" s="38"/>
      <c r="K382" s="38"/>
      <c r="L382" s="38"/>
    </row>
    <row r="383" ht="28" customHeight="1" spans="5:12" x14ac:dyDescent="0.25">
      <c r="E383" s="24"/>
      <c r="H383" s="39">
        <f>IF(INDEX('会費の受け取り'!$G$10:$G$57,35)&amp;""&lt;&gt;"",INDEX('会費の受け取り'!$G$10:$G$57,35)&amp;"",'会費の受け取り'!$B$4&amp;"")</f>
      </c>
      <c r="I383" s="39"/>
      <c r="J383" s="39"/>
      <c r="K383" s="39"/>
      <c r="L383" s="40" t="s">
        <v>53</v>
      </c>
    </row>
    <row r="384" ht="10" customHeight="1" spans="5:5" x14ac:dyDescent="0.25">
      <c r="E384" s="24"/>
    </row>
    <row r="385" ht="12" customHeight="1" spans="1:12" x14ac:dyDescent="0.25">
      <c r="A385" s="41"/>
      <c r="B385" s="41"/>
      <c r="C385" s="41"/>
      <c r="D385" s="41"/>
      <c r="E385" s="42"/>
      <c r="F385" s="41"/>
      <c r="G385" s="41"/>
      <c r="H385" s="41"/>
      <c r="I385" s="41"/>
      <c r="J385" s="41"/>
      <c r="K385" s="41"/>
      <c r="L385" s="41"/>
    </row>
    <row r="386" ht="28" customHeight="1" spans="1:12" x14ac:dyDescent="0.25">
      <c r="A386" s="21" t="s">
        <v>46</v>
      </c>
      <c r="C386" s="22" t="s">
        <v>47</v>
      </c>
      <c r="D386" s="23">
        <f>INDEX('会費の受け取り'!$A$10:$A$57,36)&amp;""</f>
      </c>
      <c r="E386" s="24"/>
      <c r="F386" s="25">
        <f>IF(INDEX('会費の受け取り'!$H$10:$H$57,36)&amp;""="書き損じ","書き損じ","領　収　書")</f>
      </c>
      <c r="G386" s="25"/>
      <c r="H386" s="25"/>
      <c r="I386" s="25"/>
      <c r="J386" s="25"/>
      <c r="K386" s="22" t="s">
        <v>47</v>
      </c>
      <c r="L386" s="23">
        <f>INDEX('会費の受け取り'!$A$10:$A$57,36)&amp;""</f>
      </c>
    </row>
    <row r="387" ht="22" customHeight="1" spans="1:12" x14ac:dyDescent="0.25">
      <c r="A387" s="26" t="s">
        <v>48</v>
      </c>
      <c r="B387" s="27">
        <f>IF(INDEX('会費の受け取り'!$F$10:$F$57,36)="","　　年　　月　　日",INDEX('会費の受け取り'!$F$10:$F$57,36))</f>
      </c>
      <c r="C387" s="27"/>
      <c r="D387" s="27"/>
      <c r="E387" s="24"/>
      <c r="J387" s="28">
        <f>IF(INDEX('会費の受け取り'!$F$10:$F$57,36)="","　　年　　月　　日",INDEX('会費の受け取り'!$F$10:$F$57,36))</f>
      </c>
      <c r="K387" s="28"/>
      <c r="L387" s="28"/>
    </row>
    <row r="388" ht="26" customHeight="1" spans="1:11" x14ac:dyDescent="0.25">
      <c r="A388" s="26" t="s">
        <v>29</v>
      </c>
      <c r="B388" s="29">
        <f>INDEX('会費の受け取り'!$C$10:$C$57,36)&amp;""</f>
      </c>
      <c r="C388" s="29"/>
      <c r="D388" s="29"/>
      <c r="E388" s="24"/>
      <c r="F388" s="30">
        <f>INDEX('会費の受け取り'!$C$10:$C$57,36)&amp;""</f>
      </c>
      <c r="G388" s="30"/>
      <c r="H388" s="30"/>
      <c r="I388" s="30"/>
      <c r="J388" s="30"/>
      <c r="K388" s="31" t="s">
        <v>49</v>
      </c>
    </row>
    <row r="389" ht="32" customHeight="1" spans="1:11" x14ac:dyDescent="0.25">
      <c r="A389" s="26" t="s">
        <v>50</v>
      </c>
      <c r="B389" s="32">
        <f>IF(INDEX('会費の受け取り'!$C$10:$C$57,36)="","",IF(INDEX('会費の受け取り'!$D$10:$D$57,36)="",N('会費の受け取り'!$B$5),INDEX('会費の受け取り'!$D$10:$D$57,36)))</f>
      </c>
      <c r="C389" s="32"/>
      <c r="D389" s="32"/>
      <c r="E389" s="24"/>
      <c r="F389" s="23" t="s">
        <v>50</v>
      </c>
      <c r="G389" s="33">
        <f>IF(INDEX('会費の受け取り'!$C$10:$C$57,36)="","",IF(INDEX('会費の受け取り'!$D$10:$D$57,36)="",N('会費の受け取り'!$B$5),INDEX('会費の受け取り'!$D$10:$D$57,36)))</f>
      </c>
      <c r="H389" s="33"/>
      <c r="I389" s="33"/>
      <c r="J389" s="33"/>
      <c r="K389" s="33"/>
    </row>
    <row r="390" ht="38" customHeight="1" spans="1:12" x14ac:dyDescent="0.25">
      <c r="A390" s="26" t="s">
        <v>51</v>
      </c>
      <c r="B390" s="34">
        <f>IF(INDEX('会費の受け取り'!$C$10:$C$57,36)="","",IF(INDEX('会費の受け取り'!$E$10:$E$57,36)&amp;""&lt;&gt;"",INDEX('会費の受け取り'!$E$10:$E$57,36)&amp;"",'会費の受け取り'!$B$6&amp;""))</f>
      </c>
      <c r="C390" s="34"/>
      <c r="D390" s="34"/>
      <c r="E390" s="24"/>
      <c r="F390" s="35">
        <f>"但し "&amp;IF(INDEX('会費の受け取り'!$C$10:$C$57,36)="","",IF(INDEX('会費の受け取り'!$E$10:$E$57,36)&amp;""&lt;&gt;"",INDEX('会費の受け取り'!$E$10:$E$57,36)&amp;"",'会費の受け取り'!$B$6&amp;""))</f>
      </c>
      <c r="G390" s="35"/>
      <c r="H390" s="35"/>
      <c r="I390" s="35"/>
      <c r="J390" s="35"/>
      <c r="K390" s="35"/>
      <c r="L390" s="35"/>
    </row>
    <row r="391" ht="22" customHeight="1" spans="1:12" x14ac:dyDescent="0.25">
      <c r="A391" s="26" t="s">
        <v>33</v>
      </c>
      <c r="B391" s="29">
        <f>IF(INDEX('会費の受け取り'!$G$10:$G$57,36)&amp;""&lt;&gt;"",INDEX('会費の受け取り'!$G$10:$G$57,36)&amp;"",'会費の受け取り'!$B$4&amp;"")</f>
      </c>
      <c r="C391" s="29"/>
      <c r="D391" s="29"/>
      <c r="E391" s="24"/>
      <c r="F391" s="36" t="s">
        <v>52</v>
      </c>
      <c r="G391" s="36"/>
      <c r="H391" s="36"/>
      <c r="I391" s="36"/>
      <c r="J391" s="36"/>
      <c r="K391" s="36"/>
      <c r="L391" s="36"/>
    </row>
    <row r="392" ht="20" customHeight="1" spans="1:5" x14ac:dyDescent="0.25">
      <c r="A392" s="37">
        <f>IF(INDEX('会費の受け取り'!$H$10:$H$57,36)&amp;""="書き損じ","書き損じ","")</f>
      </c>
      <c r="B392" s="37"/>
      <c r="C392" s="37"/>
      <c r="D392" s="37"/>
      <c r="E392" s="24"/>
    </row>
    <row r="393" ht="22" customHeight="1" spans="5:12" x14ac:dyDescent="0.25">
      <c r="E393" s="24"/>
      <c r="H393" s="38">
        <f>IF('会費の受け取り'!$B$3="","",'会費の受け取り'!$B$3)</f>
      </c>
      <c r="I393" s="38"/>
      <c r="J393" s="38"/>
      <c r="K393" s="38"/>
      <c r="L393" s="38"/>
    </row>
    <row r="394" ht="28" customHeight="1" spans="5:12" x14ac:dyDescent="0.25">
      <c r="E394" s="24"/>
      <c r="H394" s="39">
        <f>IF(INDEX('会費の受け取り'!$G$10:$G$57,36)&amp;""&lt;&gt;"",INDEX('会費の受け取り'!$G$10:$G$57,36)&amp;"",'会費の受け取り'!$B$4&amp;"")</f>
      </c>
      <c r="I394" s="39"/>
      <c r="J394" s="39"/>
      <c r="K394" s="39"/>
      <c r="L394" s="40" t="s">
        <v>53</v>
      </c>
    </row>
    <row r="395" ht="10" customHeight="1" spans="5:5" x14ac:dyDescent="0.25">
      <c r="E395" s="24"/>
    </row>
    <row r="396" ht="12" customHeight="1" spans="1:12" x14ac:dyDescent="0.25">
      <c r="A396" s="41"/>
      <c r="B396" s="41"/>
      <c r="C396" s="41"/>
      <c r="D396" s="41"/>
      <c r="E396" s="42"/>
      <c r="F396" s="41"/>
      <c r="G396" s="41"/>
      <c r="H396" s="41"/>
      <c r="I396" s="41"/>
      <c r="J396" s="41"/>
      <c r="K396" s="41"/>
      <c r="L396" s="41"/>
    </row>
    <row r="397" ht="28" customHeight="1" spans="1:12" x14ac:dyDescent="0.25">
      <c r="A397" s="21" t="s">
        <v>46</v>
      </c>
      <c r="C397" s="22" t="s">
        <v>47</v>
      </c>
      <c r="D397" s="23">
        <f>INDEX('会費の受け取り'!$A$10:$A$57,37)&amp;""</f>
      </c>
      <c r="E397" s="24"/>
      <c r="F397" s="25">
        <f>IF(INDEX('会費の受け取り'!$H$10:$H$57,37)&amp;""="書き損じ","書き損じ","領　収　書")</f>
      </c>
      <c r="G397" s="25"/>
      <c r="H397" s="25"/>
      <c r="I397" s="25"/>
      <c r="J397" s="25"/>
      <c r="K397" s="22" t="s">
        <v>47</v>
      </c>
      <c r="L397" s="23">
        <f>INDEX('会費の受け取り'!$A$10:$A$57,37)&amp;""</f>
      </c>
    </row>
    <row r="398" ht="22" customHeight="1" spans="1:12" x14ac:dyDescent="0.25">
      <c r="A398" s="26" t="s">
        <v>48</v>
      </c>
      <c r="B398" s="27">
        <f>IF(INDEX('会費の受け取り'!$F$10:$F$57,37)="","　　年　　月　　日",INDEX('会費の受け取り'!$F$10:$F$57,37))</f>
      </c>
      <c r="C398" s="27"/>
      <c r="D398" s="27"/>
      <c r="E398" s="24"/>
      <c r="J398" s="28">
        <f>IF(INDEX('会費の受け取り'!$F$10:$F$57,37)="","　　年　　月　　日",INDEX('会費の受け取り'!$F$10:$F$57,37))</f>
      </c>
      <c r="K398" s="28"/>
      <c r="L398" s="28"/>
    </row>
    <row r="399" ht="26" customHeight="1" spans="1:11" x14ac:dyDescent="0.25">
      <c r="A399" s="26" t="s">
        <v>29</v>
      </c>
      <c r="B399" s="29">
        <f>INDEX('会費の受け取り'!$C$10:$C$57,37)&amp;""</f>
      </c>
      <c r="C399" s="29"/>
      <c r="D399" s="29"/>
      <c r="E399" s="24"/>
      <c r="F399" s="30">
        <f>INDEX('会費の受け取り'!$C$10:$C$57,37)&amp;""</f>
      </c>
      <c r="G399" s="30"/>
      <c r="H399" s="30"/>
      <c r="I399" s="30"/>
      <c r="J399" s="30"/>
      <c r="K399" s="31" t="s">
        <v>49</v>
      </c>
    </row>
    <row r="400" ht="32" customHeight="1" spans="1:11" x14ac:dyDescent="0.25">
      <c r="A400" s="26" t="s">
        <v>50</v>
      </c>
      <c r="B400" s="32">
        <f>IF(INDEX('会費の受け取り'!$C$10:$C$57,37)="","",IF(INDEX('会費の受け取り'!$D$10:$D$57,37)="",N('会費の受け取り'!$B$5),INDEX('会費の受け取り'!$D$10:$D$57,37)))</f>
      </c>
      <c r="C400" s="32"/>
      <c r="D400" s="32"/>
      <c r="E400" s="24"/>
      <c r="F400" s="23" t="s">
        <v>50</v>
      </c>
      <c r="G400" s="33">
        <f>IF(INDEX('会費の受け取り'!$C$10:$C$57,37)="","",IF(INDEX('会費の受け取り'!$D$10:$D$57,37)="",N('会費の受け取り'!$B$5),INDEX('会費の受け取り'!$D$10:$D$57,37)))</f>
      </c>
      <c r="H400" s="33"/>
      <c r="I400" s="33"/>
      <c r="J400" s="33"/>
      <c r="K400" s="33"/>
    </row>
    <row r="401" ht="38" customHeight="1" spans="1:12" x14ac:dyDescent="0.25">
      <c r="A401" s="26" t="s">
        <v>51</v>
      </c>
      <c r="B401" s="34">
        <f>IF(INDEX('会費の受け取り'!$C$10:$C$57,37)="","",IF(INDEX('会費の受け取り'!$E$10:$E$57,37)&amp;""&lt;&gt;"",INDEX('会費の受け取り'!$E$10:$E$57,37)&amp;"",'会費の受け取り'!$B$6&amp;""))</f>
      </c>
      <c r="C401" s="34"/>
      <c r="D401" s="34"/>
      <c r="E401" s="24"/>
      <c r="F401" s="35">
        <f>"但し "&amp;IF(INDEX('会費の受け取り'!$C$10:$C$57,37)="","",IF(INDEX('会費の受け取り'!$E$10:$E$57,37)&amp;""&lt;&gt;"",INDEX('会費の受け取り'!$E$10:$E$57,37)&amp;"",'会費の受け取り'!$B$6&amp;""))</f>
      </c>
      <c r="G401" s="35"/>
      <c r="H401" s="35"/>
      <c r="I401" s="35"/>
      <c r="J401" s="35"/>
      <c r="K401" s="35"/>
      <c r="L401" s="35"/>
    </row>
    <row r="402" ht="22" customHeight="1" spans="1:12" x14ac:dyDescent="0.25">
      <c r="A402" s="26" t="s">
        <v>33</v>
      </c>
      <c r="B402" s="29">
        <f>IF(INDEX('会費の受け取り'!$G$10:$G$57,37)&amp;""&lt;&gt;"",INDEX('会費の受け取り'!$G$10:$G$57,37)&amp;"",'会費の受け取り'!$B$4&amp;"")</f>
      </c>
      <c r="C402" s="29"/>
      <c r="D402" s="29"/>
      <c r="E402" s="24"/>
      <c r="F402" s="36" t="s">
        <v>52</v>
      </c>
      <c r="G402" s="36"/>
      <c r="H402" s="36"/>
      <c r="I402" s="36"/>
      <c r="J402" s="36"/>
      <c r="K402" s="36"/>
      <c r="L402" s="36"/>
    </row>
    <row r="403" ht="20" customHeight="1" spans="1:5" x14ac:dyDescent="0.25">
      <c r="A403" s="37">
        <f>IF(INDEX('会費の受け取り'!$H$10:$H$57,37)&amp;""="書き損じ","書き損じ","")</f>
      </c>
      <c r="B403" s="37"/>
      <c r="C403" s="37"/>
      <c r="D403" s="37"/>
      <c r="E403" s="24"/>
    </row>
    <row r="404" ht="22" customHeight="1" spans="5:12" x14ac:dyDescent="0.25">
      <c r="E404" s="24"/>
      <c r="H404" s="38">
        <f>IF('会費の受け取り'!$B$3="","",'会費の受け取り'!$B$3)</f>
      </c>
      <c r="I404" s="38"/>
      <c r="J404" s="38"/>
      <c r="K404" s="38"/>
      <c r="L404" s="38"/>
    </row>
    <row r="405" ht="28" customHeight="1" spans="5:12" x14ac:dyDescent="0.25">
      <c r="E405" s="24"/>
      <c r="H405" s="39">
        <f>IF(INDEX('会費の受け取り'!$G$10:$G$57,37)&amp;""&lt;&gt;"",INDEX('会費の受け取り'!$G$10:$G$57,37)&amp;"",'会費の受け取り'!$B$4&amp;"")</f>
      </c>
      <c r="I405" s="39"/>
      <c r="J405" s="39"/>
      <c r="K405" s="39"/>
      <c r="L405" s="40" t="s">
        <v>53</v>
      </c>
    </row>
    <row r="406" ht="10" customHeight="1" spans="5:5" x14ac:dyDescent="0.25">
      <c r="E406" s="24"/>
    </row>
    <row r="407" ht="12" customHeight="1" spans="1:12" x14ac:dyDescent="0.25">
      <c r="A407" s="41"/>
      <c r="B407" s="41"/>
      <c r="C407" s="41"/>
      <c r="D407" s="41"/>
      <c r="E407" s="42"/>
      <c r="F407" s="41"/>
      <c r="G407" s="41"/>
      <c r="H407" s="41"/>
      <c r="I407" s="41"/>
      <c r="J407" s="41"/>
      <c r="K407" s="41"/>
      <c r="L407" s="41"/>
    </row>
    <row r="408" ht="28" customHeight="1" spans="1:12" x14ac:dyDescent="0.25">
      <c r="A408" s="21" t="s">
        <v>46</v>
      </c>
      <c r="C408" s="22" t="s">
        <v>47</v>
      </c>
      <c r="D408" s="23">
        <f>INDEX('会費の受け取り'!$A$10:$A$57,38)&amp;""</f>
      </c>
      <c r="E408" s="24"/>
      <c r="F408" s="25">
        <f>IF(INDEX('会費の受け取り'!$H$10:$H$57,38)&amp;""="書き損じ","書き損じ","領　収　書")</f>
      </c>
      <c r="G408" s="25"/>
      <c r="H408" s="25"/>
      <c r="I408" s="25"/>
      <c r="J408" s="25"/>
      <c r="K408" s="22" t="s">
        <v>47</v>
      </c>
      <c r="L408" s="23">
        <f>INDEX('会費の受け取り'!$A$10:$A$57,38)&amp;""</f>
      </c>
    </row>
    <row r="409" ht="22" customHeight="1" spans="1:12" x14ac:dyDescent="0.25">
      <c r="A409" s="26" t="s">
        <v>48</v>
      </c>
      <c r="B409" s="27">
        <f>IF(INDEX('会費の受け取り'!$F$10:$F$57,38)="","　　年　　月　　日",INDEX('会費の受け取り'!$F$10:$F$57,38))</f>
      </c>
      <c r="C409" s="27"/>
      <c r="D409" s="27"/>
      <c r="E409" s="24"/>
      <c r="J409" s="28">
        <f>IF(INDEX('会費の受け取り'!$F$10:$F$57,38)="","　　年　　月　　日",INDEX('会費の受け取り'!$F$10:$F$57,38))</f>
      </c>
      <c r="K409" s="28"/>
      <c r="L409" s="28"/>
    </row>
    <row r="410" ht="26" customHeight="1" spans="1:11" x14ac:dyDescent="0.25">
      <c r="A410" s="26" t="s">
        <v>29</v>
      </c>
      <c r="B410" s="29">
        <f>INDEX('会費の受け取り'!$C$10:$C$57,38)&amp;""</f>
      </c>
      <c r="C410" s="29"/>
      <c r="D410" s="29"/>
      <c r="E410" s="24"/>
      <c r="F410" s="30">
        <f>INDEX('会費の受け取り'!$C$10:$C$57,38)&amp;""</f>
      </c>
      <c r="G410" s="30"/>
      <c r="H410" s="30"/>
      <c r="I410" s="30"/>
      <c r="J410" s="30"/>
      <c r="K410" s="31" t="s">
        <v>49</v>
      </c>
    </row>
    <row r="411" ht="32" customHeight="1" spans="1:11" x14ac:dyDescent="0.25">
      <c r="A411" s="26" t="s">
        <v>50</v>
      </c>
      <c r="B411" s="32">
        <f>IF(INDEX('会費の受け取り'!$C$10:$C$57,38)="","",IF(INDEX('会費の受け取り'!$D$10:$D$57,38)="",N('会費の受け取り'!$B$5),INDEX('会費の受け取り'!$D$10:$D$57,38)))</f>
      </c>
      <c r="C411" s="32"/>
      <c r="D411" s="32"/>
      <c r="E411" s="24"/>
      <c r="F411" s="23" t="s">
        <v>50</v>
      </c>
      <c r="G411" s="33">
        <f>IF(INDEX('会費の受け取り'!$C$10:$C$57,38)="","",IF(INDEX('会費の受け取り'!$D$10:$D$57,38)="",N('会費の受け取り'!$B$5),INDEX('会費の受け取り'!$D$10:$D$57,38)))</f>
      </c>
      <c r="H411" s="33"/>
      <c r="I411" s="33"/>
      <c r="J411" s="33"/>
      <c r="K411" s="33"/>
    </row>
    <row r="412" ht="38" customHeight="1" spans="1:12" x14ac:dyDescent="0.25">
      <c r="A412" s="26" t="s">
        <v>51</v>
      </c>
      <c r="B412" s="34">
        <f>IF(INDEX('会費の受け取り'!$C$10:$C$57,38)="","",IF(INDEX('会費の受け取り'!$E$10:$E$57,38)&amp;""&lt;&gt;"",INDEX('会費の受け取り'!$E$10:$E$57,38)&amp;"",'会費の受け取り'!$B$6&amp;""))</f>
      </c>
      <c r="C412" s="34"/>
      <c r="D412" s="34"/>
      <c r="E412" s="24"/>
      <c r="F412" s="35">
        <f>"但し "&amp;IF(INDEX('会費の受け取り'!$C$10:$C$57,38)="","",IF(INDEX('会費の受け取り'!$E$10:$E$57,38)&amp;""&lt;&gt;"",INDEX('会費の受け取り'!$E$10:$E$57,38)&amp;"",'会費の受け取り'!$B$6&amp;""))</f>
      </c>
      <c r="G412" s="35"/>
      <c r="H412" s="35"/>
      <c r="I412" s="35"/>
      <c r="J412" s="35"/>
      <c r="K412" s="35"/>
      <c r="L412" s="35"/>
    </row>
    <row r="413" ht="22" customHeight="1" spans="1:12" x14ac:dyDescent="0.25">
      <c r="A413" s="26" t="s">
        <v>33</v>
      </c>
      <c r="B413" s="29">
        <f>IF(INDEX('会費の受け取り'!$G$10:$G$57,38)&amp;""&lt;&gt;"",INDEX('会費の受け取り'!$G$10:$G$57,38)&amp;"",'会費の受け取り'!$B$4&amp;"")</f>
      </c>
      <c r="C413" s="29"/>
      <c r="D413" s="29"/>
      <c r="E413" s="24"/>
      <c r="F413" s="36" t="s">
        <v>52</v>
      </c>
      <c r="G413" s="36"/>
      <c r="H413" s="36"/>
      <c r="I413" s="36"/>
      <c r="J413" s="36"/>
      <c r="K413" s="36"/>
      <c r="L413" s="36"/>
    </row>
    <row r="414" ht="20" customHeight="1" spans="1:5" x14ac:dyDescent="0.25">
      <c r="A414" s="37">
        <f>IF(INDEX('会費の受け取り'!$H$10:$H$57,38)&amp;""="書き損じ","書き損じ","")</f>
      </c>
      <c r="B414" s="37"/>
      <c r="C414" s="37"/>
      <c r="D414" s="37"/>
      <c r="E414" s="24"/>
    </row>
    <row r="415" ht="22" customHeight="1" spans="5:12" x14ac:dyDescent="0.25">
      <c r="E415" s="24"/>
      <c r="H415" s="38">
        <f>IF('会費の受け取り'!$B$3="","",'会費の受け取り'!$B$3)</f>
      </c>
      <c r="I415" s="38"/>
      <c r="J415" s="38"/>
      <c r="K415" s="38"/>
      <c r="L415" s="38"/>
    </row>
    <row r="416" ht="28" customHeight="1" spans="5:12" x14ac:dyDescent="0.25">
      <c r="E416" s="24"/>
      <c r="H416" s="39">
        <f>IF(INDEX('会費の受け取り'!$G$10:$G$57,38)&amp;""&lt;&gt;"",INDEX('会費の受け取り'!$G$10:$G$57,38)&amp;"",'会費の受け取り'!$B$4&amp;"")</f>
      </c>
      <c r="I416" s="39"/>
      <c r="J416" s="39"/>
      <c r="K416" s="39"/>
      <c r="L416" s="40" t="s">
        <v>53</v>
      </c>
    </row>
    <row r="417" ht="10" customHeight="1" spans="5:5" x14ac:dyDescent="0.25">
      <c r="E417" s="24"/>
    </row>
    <row r="418" ht="12" customHeight="1" spans="1:12" x14ac:dyDescent="0.25">
      <c r="A418" s="41"/>
      <c r="B418" s="41"/>
      <c r="C418" s="41"/>
      <c r="D418" s="41"/>
      <c r="E418" s="42"/>
      <c r="F418" s="41"/>
      <c r="G418" s="41"/>
      <c r="H418" s="41"/>
      <c r="I418" s="41"/>
      <c r="J418" s="41"/>
      <c r="K418" s="41"/>
      <c r="L418" s="41"/>
    </row>
    <row r="419" ht="28" customHeight="1" spans="1:12" x14ac:dyDescent="0.25">
      <c r="A419" s="21" t="s">
        <v>46</v>
      </c>
      <c r="C419" s="22" t="s">
        <v>47</v>
      </c>
      <c r="D419" s="23">
        <f>INDEX('会費の受け取り'!$A$10:$A$57,39)&amp;""</f>
      </c>
      <c r="E419" s="24"/>
      <c r="F419" s="25">
        <f>IF(INDEX('会費の受け取り'!$H$10:$H$57,39)&amp;""="書き損じ","書き損じ","領　収　書")</f>
      </c>
      <c r="G419" s="25"/>
      <c r="H419" s="25"/>
      <c r="I419" s="25"/>
      <c r="J419" s="25"/>
      <c r="K419" s="22" t="s">
        <v>47</v>
      </c>
      <c r="L419" s="23">
        <f>INDEX('会費の受け取り'!$A$10:$A$57,39)&amp;""</f>
      </c>
    </row>
    <row r="420" ht="22" customHeight="1" spans="1:12" x14ac:dyDescent="0.25">
      <c r="A420" s="26" t="s">
        <v>48</v>
      </c>
      <c r="B420" s="27">
        <f>IF(INDEX('会費の受け取り'!$F$10:$F$57,39)="","　　年　　月　　日",INDEX('会費の受け取り'!$F$10:$F$57,39))</f>
      </c>
      <c r="C420" s="27"/>
      <c r="D420" s="27"/>
      <c r="E420" s="24"/>
      <c r="J420" s="28">
        <f>IF(INDEX('会費の受け取り'!$F$10:$F$57,39)="","　　年　　月　　日",INDEX('会費の受け取り'!$F$10:$F$57,39))</f>
      </c>
      <c r="K420" s="28"/>
      <c r="L420" s="28"/>
    </row>
    <row r="421" ht="26" customHeight="1" spans="1:11" x14ac:dyDescent="0.25">
      <c r="A421" s="26" t="s">
        <v>29</v>
      </c>
      <c r="B421" s="29">
        <f>INDEX('会費の受け取り'!$C$10:$C$57,39)&amp;""</f>
      </c>
      <c r="C421" s="29"/>
      <c r="D421" s="29"/>
      <c r="E421" s="24"/>
      <c r="F421" s="30">
        <f>INDEX('会費の受け取り'!$C$10:$C$57,39)&amp;""</f>
      </c>
      <c r="G421" s="30"/>
      <c r="H421" s="30"/>
      <c r="I421" s="30"/>
      <c r="J421" s="30"/>
      <c r="K421" s="31" t="s">
        <v>49</v>
      </c>
    </row>
    <row r="422" ht="32" customHeight="1" spans="1:11" x14ac:dyDescent="0.25">
      <c r="A422" s="26" t="s">
        <v>50</v>
      </c>
      <c r="B422" s="32">
        <f>IF(INDEX('会費の受け取り'!$C$10:$C$57,39)="","",IF(INDEX('会費の受け取り'!$D$10:$D$57,39)="",N('会費の受け取り'!$B$5),INDEX('会費の受け取り'!$D$10:$D$57,39)))</f>
      </c>
      <c r="C422" s="32"/>
      <c r="D422" s="32"/>
      <c r="E422" s="24"/>
      <c r="F422" s="23" t="s">
        <v>50</v>
      </c>
      <c r="G422" s="33">
        <f>IF(INDEX('会費の受け取り'!$C$10:$C$57,39)="","",IF(INDEX('会費の受け取り'!$D$10:$D$57,39)="",N('会費の受け取り'!$B$5),INDEX('会費の受け取り'!$D$10:$D$57,39)))</f>
      </c>
      <c r="H422" s="33"/>
      <c r="I422" s="33"/>
      <c r="J422" s="33"/>
      <c r="K422" s="33"/>
    </row>
    <row r="423" ht="38" customHeight="1" spans="1:12" x14ac:dyDescent="0.25">
      <c r="A423" s="26" t="s">
        <v>51</v>
      </c>
      <c r="B423" s="34">
        <f>IF(INDEX('会費の受け取り'!$C$10:$C$57,39)="","",IF(INDEX('会費の受け取り'!$E$10:$E$57,39)&amp;""&lt;&gt;"",INDEX('会費の受け取り'!$E$10:$E$57,39)&amp;"",'会費の受け取り'!$B$6&amp;""))</f>
      </c>
      <c r="C423" s="34"/>
      <c r="D423" s="34"/>
      <c r="E423" s="24"/>
      <c r="F423" s="35">
        <f>"但し "&amp;IF(INDEX('会費の受け取り'!$C$10:$C$57,39)="","",IF(INDEX('会費の受け取り'!$E$10:$E$57,39)&amp;""&lt;&gt;"",INDEX('会費の受け取り'!$E$10:$E$57,39)&amp;"",'会費の受け取り'!$B$6&amp;""))</f>
      </c>
      <c r="G423" s="35"/>
      <c r="H423" s="35"/>
      <c r="I423" s="35"/>
      <c r="J423" s="35"/>
      <c r="K423" s="35"/>
      <c r="L423" s="35"/>
    </row>
    <row r="424" ht="22" customHeight="1" spans="1:12" x14ac:dyDescent="0.25">
      <c r="A424" s="26" t="s">
        <v>33</v>
      </c>
      <c r="B424" s="29">
        <f>IF(INDEX('会費の受け取り'!$G$10:$G$57,39)&amp;""&lt;&gt;"",INDEX('会費の受け取り'!$G$10:$G$57,39)&amp;"",'会費の受け取り'!$B$4&amp;"")</f>
      </c>
      <c r="C424" s="29"/>
      <c r="D424" s="29"/>
      <c r="E424" s="24"/>
      <c r="F424" s="36" t="s">
        <v>52</v>
      </c>
      <c r="G424" s="36"/>
      <c r="H424" s="36"/>
      <c r="I424" s="36"/>
      <c r="J424" s="36"/>
      <c r="K424" s="36"/>
      <c r="L424" s="36"/>
    </row>
    <row r="425" ht="20" customHeight="1" spans="1:5" x14ac:dyDescent="0.25">
      <c r="A425" s="37">
        <f>IF(INDEX('会費の受け取り'!$H$10:$H$57,39)&amp;""="書き損じ","書き損じ","")</f>
      </c>
      <c r="B425" s="37"/>
      <c r="C425" s="37"/>
      <c r="D425" s="37"/>
      <c r="E425" s="24"/>
    </row>
    <row r="426" ht="22" customHeight="1" spans="5:12" x14ac:dyDescent="0.25">
      <c r="E426" s="24"/>
      <c r="H426" s="38">
        <f>IF('会費の受け取り'!$B$3="","",'会費の受け取り'!$B$3)</f>
      </c>
      <c r="I426" s="38"/>
      <c r="J426" s="38"/>
      <c r="K426" s="38"/>
      <c r="L426" s="38"/>
    </row>
    <row r="427" ht="28" customHeight="1" spans="5:12" x14ac:dyDescent="0.25">
      <c r="E427" s="24"/>
      <c r="H427" s="39">
        <f>IF(INDEX('会費の受け取り'!$G$10:$G$57,39)&amp;""&lt;&gt;"",INDEX('会費の受け取り'!$G$10:$G$57,39)&amp;"",'会費の受け取り'!$B$4&amp;"")</f>
      </c>
      <c r="I427" s="39"/>
      <c r="J427" s="39"/>
      <c r="K427" s="39"/>
      <c r="L427" s="40" t="s">
        <v>53</v>
      </c>
    </row>
    <row r="428" ht="10" customHeight="1" spans="5:5" x14ac:dyDescent="0.25">
      <c r="E428" s="24"/>
    </row>
    <row r="429" ht="12" customHeight="1" spans="1:12" x14ac:dyDescent="0.25">
      <c r="A429" s="41"/>
      <c r="B429" s="41"/>
      <c r="C429" s="41"/>
      <c r="D429" s="41"/>
      <c r="E429" s="42"/>
      <c r="F429" s="41"/>
      <c r="G429" s="41"/>
      <c r="H429" s="41"/>
      <c r="I429" s="41"/>
      <c r="J429" s="41"/>
      <c r="K429" s="41"/>
      <c r="L429" s="41"/>
    </row>
    <row r="430" ht="28" customHeight="1" spans="1:12" x14ac:dyDescent="0.25">
      <c r="A430" s="21" t="s">
        <v>46</v>
      </c>
      <c r="C430" s="22" t="s">
        <v>47</v>
      </c>
      <c r="D430" s="23">
        <f>INDEX('会費の受け取り'!$A$10:$A$57,40)&amp;""</f>
      </c>
      <c r="E430" s="24"/>
      <c r="F430" s="25">
        <f>IF(INDEX('会費の受け取り'!$H$10:$H$57,40)&amp;""="書き損じ","書き損じ","領　収　書")</f>
      </c>
      <c r="G430" s="25"/>
      <c r="H430" s="25"/>
      <c r="I430" s="25"/>
      <c r="J430" s="25"/>
      <c r="K430" s="22" t="s">
        <v>47</v>
      </c>
      <c r="L430" s="23">
        <f>INDEX('会費の受け取り'!$A$10:$A$57,40)&amp;""</f>
      </c>
    </row>
    <row r="431" ht="22" customHeight="1" spans="1:12" x14ac:dyDescent="0.25">
      <c r="A431" s="26" t="s">
        <v>48</v>
      </c>
      <c r="B431" s="27">
        <f>IF(INDEX('会費の受け取り'!$F$10:$F$57,40)="","　　年　　月　　日",INDEX('会費の受け取り'!$F$10:$F$57,40))</f>
      </c>
      <c r="C431" s="27"/>
      <c r="D431" s="27"/>
      <c r="E431" s="24"/>
      <c r="J431" s="28">
        <f>IF(INDEX('会費の受け取り'!$F$10:$F$57,40)="","　　年　　月　　日",INDEX('会費の受け取り'!$F$10:$F$57,40))</f>
      </c>
      <c r="K431" s="28"/>
      <c r="L431" s="28"/>
    </row>
    <row r="432" ht="26" customHeight="1" spans="1:11" x14ac:dyDescent="0.25">
      <c r="A432" s="26" t="s">
        <v>29</v>
      </c>
      <c r="B432" s="29">
        <f>INDEX('会費の受け取り'!$C$10:$C$57,40)&amp;""</f>
      </c>
      <c r="C432" s="29"/>
      <c r="D432" s="29"/>
      <c r="E432" s="24"/>
      <c r="F432" s="30">
        <f>INDEX('会費の受け取り'!$C$10:$C$57,40)&amp;""</f>
      </c>
      <c r="G432" s="30"/>
      <c r="H432" s="30"/>
      <c r="I432" s="30"/>
      <c r="J432" s="30"/>
      <c r="K432" s="31" t="s">
        <v>49</v>
      </c>
    </row>
    <row r="433" ht="32" customHeight="1" spans="1:11" x14ac:dyDescent="0.25">
      <c r="A433" s="26" t="s">
        <v>50</v>
      </c>
      <c r="B433" s="32">
        <f>IF(INDEX('会費の受け取り'!$C$10:$C$57,40)="","",IF(INDEX('会費の受け取り'!$D$10:$D$57,40)="",N('会費の受け取り'!$B$5),INDEX('会費の受け取り'!$D$10:$D$57,40)))</f>
      </c>
      <c r="C433" s="32"/>
      <c r="D433" s="32"/>
      <c r="E433" s="24"/>
      <c r="F433" s="23" t="s">
        <v>50</v>
      </c>
      <c r="G433" s="33">
        <f>IF(INDEX('会費の受け取り'!$C$10:$C$57,40)="","",IF(INDEX('会費の受け取り'!$D$10:$D$57,40)="",N('会費の受け取り'!$B$5),INDEX('会費の受け取り'!$D$10:$D$57,40)))</f>
      </c>
      <c r="H433" s="33"/>
      <c r="I433" s="33"/>
      <c r="J433" s="33"/>
      <c r="K433" s="33"/>
    </row>
    <row r="434" ht="38" customHeight="1" spans="1:12" x14ac:dyDescent="0.25">
      <c r="A434" s="26" t="s">
        <v>51</v>
      </c>
      <c r="B434" s="34">
        <f>IF(INDEX('会費の受け取り'!$C$10:$C$57,40)="","",IF(INDEX('会費の受け取り'!$E$10:$E$57,40)&amp;""&lt;&gt;"",INDEX('会費の受け取り'!$E$10:$E$57,40)&amp;"",'会費の受け取り'!$B$6&amp;""))</f>
      </c>
      <c r="C434" s="34"/>
      <c r="D434" s="34"/>
      <c r="E434" s="24"/>
      <c r="F434" s="35">
        <f>"但し "&amp;IF(INDEX('会費の受け取り'!$C$10:$C$57,40)="","",IF(INDEX('会費の受け取り'!$E$10:$E$57,40)&amp;""&lt;&gt;"",INDEX('会費の受け取り'!$E$10:$E$57,40)&amp;"",'会費の受け取り'!$B$6&amp;""))</f>
      </c>
      <c r="G434" s="35"/>
      <c r="H434" s="35"/>
      <c r="I434" s="35"/>
      <c r="J434" s="35"/>
      <c r="K434" s="35"/>
      <c r="L434" s="35"/>
    </row>
    <row r="435" ht="22" customHeight="1" spans="1:12" x14ac:dyDescent="0.25">
      <c r="A435" s="26" t="s">
        <v>33</v>
      </c>
      <c r="B435" s="29">
        <f>IF(INDEX('会費の受け取り'!$G$10:$G$57,40)&amp;""&lt;&gt;"",INDEX('会費の受け取り'!$G$10:$G$57,40)&amp;"",'会費の受け取り'!$B$4&amp;"")</f>
      </c>
      <c r="C435" s="29"/>
      <c r="D435" s="29"/>
      <c r="E435" s="24"/>
      <c r="F435" s="36" t="s">
        <v>52</v>
      </c>
      <c r="G435" s="36"/>
      <c r="H435" s="36"/>
      <c r="I435" s="36"/>
      <c r="J435" s="36"/>
      <c r="K435" s="36"/>
      <c r="L435" s="36"/>
    </row>
    <row r="436" ht="20" customHeight="1" spans="1:5" x14ac:dyDescent="0.25">
      <c r="A436" s="37">
        <f>IF(INDEX('会費の受け取り'!$H$10:$H$57,40)&amp;""="書き損じ","書き損じ","")</f>
      </c>
      <c r="B436" s="37"/>
      <c r="C436" s="37"/>
      <c r="D436" s="37"/>
      <c r="E436" s="24"/>
    </row>
    <row r="437" ht="22" customHeight="1" spans="5:12" x14ac:dyDescent="0.25">
      <c r="E437" s="24"/>
      <c r="H437" s="38">
        <f>IF('会費の受け取り'!$B$3="","",'会費の受け取り'!$B$3)</f>
      </c>
      <c r="I437" s="38"/>
      <c r="J437" s="38"/>
      <c r="K437" s="38"/>
      <c r="L437" s="38"/>
    </row>
    <row r="438" ht="28" customHeight="1" spans="5:12" x14ac:dyDescent="0.25">
      <c r="E438" s="24"/>
      <c r="H438" s="39">
        <f>IF(INDEX('会費の受け取り'!$G$10:$G$57,40)&amp;""&lt;&gt;"",INDEX('会費の受け取り'!$G$10:$G$57,40)&amp;"",'会費の受け取り'!$B$4&amp;"")</f>
      </c>
      <c r="I438" s="39"/>
      <c r="J438" s="39"/>
      <c r="K438" s="39"/>
      <c r="L438" s="40" t="s">
        <v>53</v>
      </c>
    </row>
    <row r="439" ht="10" customHeight="1" spans="5:5" x14ac:dyDescent="0.25">
      <c r="E439" s="24"/>
    </row>
    <row r="440" ht="12" customHeight="1" spans="1:12" x14ac:dyDescent="0.25">
      <c r="A440" s="41"/>
      <c r="B440" s="41"/>
      <c r="C440" s="41"/>
      <c r="D440" s="41"/>
      <c r="E440" s="42"/>
      <c r="F440" s="41"/>
      <c r="G440" s="41"/>
      <c r="H440" s="41"/>
      <c r="I440" s="41"/>
      <c r="J440" s="41"/>
      <c r="K440" s="41"/>
      <c r="L440" s="41"/>
    </row>
    <row r="441" ht="28" customHeight="1" spans="1:12" x14ac:dyDescent="0.25">
      <c r="A441" s="21" t="s">
        <v>46</v>
      </c>
      <c r="C441" s="22" t="s">
        <v>47</v>
      </c>
      <c r="D441" s="23">
        <f>INDEX('会費の受け取り'!$A$10:$A$57,41)&amp;""</f>
      </c>
      <c r="E441" s="24"/>
      <c r="F441" s="25">
        <f>IF(INDEX('会費の受け取り'!$H$10:$H$57,41)&amp;""="書き損じ","書き損じ","領　収　書")</f>
      </c>
      <c r="G441" s="25"/>
      <c r="H441" s="25"/>
      <c r="I441" s="25"/>
      <c r="J441" s="25"/>
      <c r="K441" s="22" t="s">
        <v>47</v>
      </c>
      <c r="L441" s="23">
        <f>INDEX('会費の受け取り'!$A$10:$A$57,41)&amp;""</f>
      </c>
    </row>
    <row r="442" ht="22" customHeight="1" spans="1:12" x14ac:dyDescent="0.25">
      <c r="A442" s="26" t="s">
        <v>48</v>
      </c>
      <c r="B442" s="27">
        <f>IF(INDEX('会費の受け取り'!$F$10:$F$57,41)="","　　年　　月　　日",INDEX('会費の受け取り'!$F$10:$F$57,41))</f>
      </c>
      <c r="C442" s="27"/>
      <c r="D442" s="27"/>
      <c r="E442" s="24"/>
      <c r="J442" s="28">
        <f>IF(INDEX('会費の受け取り'!$F$10:$F$57,41)="","　　年　　月　　日",INDEX('会費の受け取り'!$F$10:$F$57,41))</f>
      </c>
      <c r="K442" s="28"/>
      <c r="L442" s="28"/>
    </row>
    <row r="443" ht="26" customHeight="1" spans="1:11" x14ac:dyDescent="0.25">
      <c r="A443" s="26" t="s">
        <v>29</v>
      </c>
      <c r="B443" s="29">
        <f>INDEX('会費の受け取り'!$C$10:$C$57,41)&amp;""</f>
      </c>
      <c r="C443" s="29"/>
      <c r="D443" s="29"/>
      <c r="E443" s="24"/>
      <c r="F443" s="30">
        <f>INDEX('会費の受け取り'!$C$10:$C$57,41)&amp;""</f>
      </c>
      <c r="G443" s="30"/>
      <c r="H443" s="30"/>
      <c r="I443" s="30"/>
      <c r="J443" s="30"/>
      <c r="K443" s="31" t="s">
        <v>49</v>
      </c>
    </row>
    <row r="444" ht="32" customHeight="1" spans="1:11" x14ac:dyDescent="0.25">
      <c r="A444" s="26" t="s">
        <v>50</v>
      </c>
      <c r="B444" s="32">
        <f>IF(INDEX('会費の受け取り'!$C$10:$C$57,41)="","",IF(INDEX('会費の受け取り'!$D$10:$D$57,41)="",N('会費の受け取り'!$B$5),INDEX('会費の受け取り'!$D$10:$D$57,41)))</f>
      </c>
      <c r="C444" s="32"/>
      <c r="D444" s="32"/>
      <c r="E444" s="24"/>
      <c r="F444" s="23" t="s">
        <v>50</v>
      </c>
      <c r="G444" s="33">
        <f>IF(INDEX('会費の受け取り'!$C$10:$C$57,41)="","",IF(INDEX('会費の受け取り'!$D$10:$D$57,41)="",N('会費の受け取り'!$B$5),INDEX('会費の受け取り'!$D$10:$D$57,41)))</f>
      </c>
      <c r="H444" s="33"/>
      <c r="I444" s="33"/>
      <c r="J444" s="33"/>
      <c r="K444" s="33"/>
    </row>
    <row r="445" ht="38" customHeight="1" spans="1:12" x14ac:dyDescent="0.25">
      <c r="A445" s="26" t="s">
        <v>51</v>
      </c>
      <c r="B445" s="34">
        <f>IF(INDEX('会費の受け取り'!$C$10:$C$57,41)="","",IF(INDEX('会費の受け取り'!$E$10:$E$57,41)&amp;""&lt;&gt;"",INDEX('会費の受け取り'!$E$10:$E$57,41)&amp;"",'会費の受け取り'!$B$6&amp;""))</f>
      </c>
      <c r="C445" s="34"/>
      <c r="D445" s="34"/>
      <c r="E445" s="24"/>
      <c r="F445" s="35">
        <f>"但し "&amp;IF(INDEX('会費の受け取り'!$C$10:$C$57,41)="","",IF(INDEX('会費の受け取り'!$E$10:$E$57,41)&amp;""&lt;&gt;"",INDEX('会費の受け取り'!$E$10:$E$57,41)&amp;"",'会費の受け取り'!$B$6&amp;""))</f>
      </c>
      <c r="G445" s="35"/>
      <c r="H445" s="35"/>
      <c r="I445" s="35"/>
      <c r="J445" s="35"/>
      <c r="K445" s="35"/>
      <c r="L445" s="35"/>
    </row>
    <row r="446" ht="22" customHeight="1" spans="1:12" x14ac:dyDescent="0.25">
      <c r="A446" s="26" t="s">
        <v>33</v>
      </c>
      <c r="B446" s="29">
        <f>IF(INDEX('会費の受け取り'!$G$10:$G$57,41)&amp;""&lt;&gt;"",INDEX('会費の受け取り'!$G$10:$G$57,41)&amp;"",'会費の受け取り'!$B$4&amp;"")</f>
      </c>
      <c r="C446" s="29"/>
      <c r="D446" s="29"/>
      <c r="E446" s="24"/>
      <c r="F446" s="36" t="s">
        <v>52</v>
      </c>
      <c r="G446" s="36"/>
      <c r="H446" s="36"/>
      <c r="I446" s="36"/>
      <c r="J446" s="36"/>
      <c r="K446" s="36"/>
      <c r="L446" s="36"/>
    </row>
    <row r="447" ht="20" customHeight="1" spans="1:5" x14ac:dyDescent="0.25">
      <c r="A447" s="37">
        <f>IF(INDEX('会費の受け取り'!$H$10:$H$57,41)&amp;""="書き損じ","書き損じ","")</f>
      </c>
      <c r="B447" s="37"/>
      <c r="C447" s="37"/>
      <c r="D447" s="37"/>
      <c r="E447" s="24"/>
    </row>
    <row r="448" ht="22" customHeight="1" spans="5:12" x14ac:dyDescent="0.25">
      <c r="E448" s="24"/>
      <c r="H448" s="38">
        <f>IF('会費の受け取り'!$B$3="","",'会費の受け取り'!$B$3)</f>
      </c>
      <c r="I448" s="38"/>
      <c r="J448" s="38"/>
      <c r="K448" s="38"/>
      <c r="L448" s="38"/>
    </row>
    <row r="449" ht="28" customHeight="1" spans="5:12" x14ac:dyDescent="0.25">
      <c r="E449" s="24"/>
      <c r="H449" s="39">
        <f>IF(INDEX('会費の受け取り'!$G$10:$G$57,41)&amp;""&lt;&gt;"",INDEX('会費の受け取り'!$G$10:$G$57,41)&amp;"",'会費の受け取り'!$B$4&amp;"")</f>
      </c>
      <c r="I449" s="39"/>
      <c r="J449" s="39"/>
      <c r="K449" s="39"/>
      <c r="L449" s="40" t="s">
        <v>53</v>
      </c>
    </row>
    <row r="450" ht="10" customHeight="1" spans="5:5" x14ac:dyDescent="0.25">
      <c r="E450" s="24"/>
    </row>
    <row r="451" ht="12" customHeight="1" spans="1:12" x14ac:dyDescent="0.25">
      <c r="A451" s="41"/>
      <c r="B451" s="41"/>
      <c r="C451" s="41"/>
      <c r="D451" s="41"/>
      <c r="E451" s="42"/>
      <c r="F451" s="41"/>
      <c r="G451" s="41"/>
      <c r="H451" s="41"/>
      <c r="I451" s="41"/>
      <c r="J451" s="41"/>
      <c r="K451" s="41"/>
      <c r="L451" s="41"/>
    </row>
    <row r="452" ht="28" customHeight="1" spans="1:12" x14ac:dyDescent="0.25">
      <c r="A452" s="21" t="s">
        <v>46</v>
      </c>
      <c r="C452" s="22" t="s">
        <v>47</v>
      </c>
      <c r="D452" s="23">
        <f>INDEX('会費の受け取り'!$A$10:$A$57,42)&amp;""</f>
      </c>
      <c r="E452" s="24"/>
      <c r="F452" s="25">
        <f>IF(INDEX('会費の受け取り'!$H$10:$H$57,42)&amp;""="書き損じ","書き損じ","領　収　書")</f>
      </c>
      <c r="G452" s="25"/>
      <c r="H452" s="25"/>
      <c r="I452" s="25"/>
      <c r="J452" s="25"/>
      <c r="K452" s="22" t="s">
        <v>47</v>
      </c>
      <c r="L452" s="23">
        <f>INDEX('会費の受け取り'!$A$10:$A$57,42)&amp;""</f>
      </c>
    </row>
    <row r="453" ht="22" customHeight="1" spans="1:12" x14ac:dyDescent="0.25">
      <c r="A453" s="26" t="s">
        <v>48</v>
      </c>
      <c r="B453" s="27">
        <f>IF(INDEX('会費の受け取り'!$F$10:$F$57,42)="","　　年　　月　　日",INDEX('会費の受け取り'!$F$10:$F$57,42))</f>
      </c>
      <c r="C453" s="27"/>
      <c r="D453" s="27"/>
      <c r="E453" s="24"/>
      <c r="J453" s="28">
        <f>IF(INDEX('会費の受け取り'!$F$10:$F$57,42)="","　　年　　月　　日",INDEX('会費の受け取り'!$F$10:$F$57,42))</f>
      </c>
      <c r="K453" s="28"/>
      <c r="L453" s="28"/>
    </row>
    <row r="454" ht="26" customHeight="1" spans="1:11" x14ac:dyDescent="0.25">
      <c r="A454" s="26" t="s">
        <v>29</v>
      </c>
      <c r="B454" s="29">
        <f>INDEX('会費の受け取り'!$C$10:$C$57,42)&amp;""</f>
      </c>
      <c r="C454" s="29"/>
      <c r="D454" s="29"/>
      <c r="E454" s="24"/>
      <c r="F454" s="30">
        <f>INDEX('会費の受け取り'!$C$10:$C$57,42)&amp;""</f>
      </c>
      <c r="G454" s="30"/>
      <c r="H454" s="30"/>
      <c r="I454" s="30"/>
      <c r="J454" s="30"/>
      <c r="K454" s="31" t="s">
        <v>49</v>
      </c>
    </row>
    <row r="455" ht="32" customHeight="1" spans="1:11" x14ac:dyDescent="0.25">
      <c r="A455" s="26" t="s">
        <v>50</v>
      </c>
      <c r="B455" s="32">
        <f>IF(INDEX('会費の受け取り'!$C$10:$C$57,42)="","",IF(INDEX('会費の受け取り'!$D$10:$D$57,42)="",N('会費の受け取り'!$B$5),INDEX('会費の受け取り'!$D$10:$D$57,42)))</f>
      </c>
      <c r="C455" s="32"/>
      <c r="D455" s="32"/>
      <c r="E455" s="24"/>
      <c r="F455" s="23" t="s">
        <v>50</v>
      </c>
      <c r="G455" s="33">
        <f>IF(INDEX('会費の受け取り'!$C$10:$C$57,42)="","",IF(INDEX('会費の受け取り'!$D$10:$D$57,42)="",N('会費の受け取り'!$B$5),INDEX('会費の受け取り'!$D$10:$D$57,42)))</f>
      </c>
      <c r="H455" s="33"/>
      <c r="I455" s="33"/>
      <c r="J455" s="33"/>
      <c r="K455" s="33"/>
    </row>
    <row r="456" ht="38" customHeight="1" spans="1:12" x14ac:dyDescent="0.25">
      <c r="A456" s="26" t="s">
        <v>51</v>
      </c>
      <c r="B456" s="34">
        <f>IF(INDEX('会費の受け取り'!$C$10:$C$57,42)="","",IF(INDEX('会費の受け取り'!$E$10:$E$57,42)&amp;""&lt;&gt;"",INDEX('会費の受け取り'!$E$10:$E$57,42)&amp;"",'会費の受け取り'!$B$6&amp;""))</f>
      </c>
      <c r="C456" s="34"/>
      <c r="D456" s="34"/>
      <c r="E456" s="24"/>
      <c r="F456" s="35">
        <f>"但し "&amp;IF(INDEX('会費の受け取り'!$C$10:$C$57,42)="","",IF(INDEX('会費の受け取り'!$E$10:$E$57,42)&amp;""&lt;&gt;"",INDEX('会費の受け取り'!$E$10:$E$57,42)&amp;"",'会費の受け取り'!$B$6&amp;""))</f>
      </c>
      <c r="G456" s="35"/>
      <c r="H456" s="35"/>
      <c r="I456" s="35"/>
      <c r="J456" s="35"/>
      <c r="K456" s="35"/>
      <c r="L456" s="35"/>
    </row>
    <row r="457" ht="22" customHeight="1" spans="1:12" x14ac:dyDescent="0.25">
      <c r="A457" s="26" t="s">
        <v>33</v>
      </c>
      <c r="B457" s="29">
        <f>IF(INDEX('会費の受け取り'!$G$10:$G$57,42)&amp;""&lt;&gt;"",INDEX('会費の受け取り'!$G$10:$G$57,42)&amp;"",'会費の受け取り'!$B$4&amp;"")</f>
      </c>
      <c r="C457" s="29"/>
      <c r="D457" s="29"/>
      <c r="E457" s="24"/>
      <c r="F457" s="36" t="s">
        <v>52</v>
      </c>
      <c r="G457" s="36"/>
      <c r="H457" s="36"/>
      <c r="I457" s="36"/>
      <c r="J457" s="36"/>
      <c r="K457" s="36"/>
      <c r="L457" s="36"/>
    </row>
    <row r="458" ht="20" customHeight="1" spans="1:5" x14ac:dyDescent="0.25">
      <c r="A458" s="37">
        <f>IF(INDEX('会費の受け取り'!$H$10:$H$57,42)&amp;""="書き損じ","書き損じ","")</f>
      </c>
      <c r="B458" s="37"/>
      <c r="C458" s="37"/>
      <c r="D458" s="37"/>
      <c r="E458" s="24"/>
    </row>
    <row r="459" ht="22" customHeight="1" spans="5:12" x14ac:dyDescent="0.25">
      <c r="E459" s="24"/>
      <c r="H459" s="38">
        <f>IF('会費の受け取り'!$B$3="","",'会費の受け取り'!$B$3)</f>
      </c>
      <c r="I459" s="38"/>
      <c r="J459" s="38"/>
      <c r="K459" s="38"/>
      <c r="L459" s="38"/>
    </row>
    <row r="460" ht="28" customHeight="1" spans="5:12" x14ac:dyDescent="0.25">
      <c r="E460" s="24"/>
      <c r="H460" s="39">
        <f>IF(INDEX('会費の受け取り'!$G$10:$G$57,42)&amp;""&lt;&gt;"",INDEX('会費の受け取り'!$G$10:$G$57,42)&amp;"",'会費の受け取り'!$B$4&amp;"")</f>
      </c>
      <c r="I460" s="39"/>
      <c r="J460" s="39"/>
      <c r="K460" s="39"/>
      <c r="L460" s="40" t="s">
        <v>53</v>
      </c>
    </row>
    <row r="461" ht="10" customHeight="1" spans="5:5" x14ac:dyDescent="0.25">
      <c r="E461" s="24"/>
    </row>
    <row r="462" ht="12" customHeight="1" spans="1:12" x14ac:dyDescent="0.25">
      <c r="A462" s="41"/>
      <c r="B462" s="41"/>
      <c r="C462" s="41"/>
      <c r="D462" s="41"/>
      <c r="E462" s="42"/>
      <c r="F462" s="41"/>
      <c r="G462" s="41"/>
      <c r="H462" s="41"/>
      <c r="I462" s="41"/>
      <c r="J462" s="41"/>
      <c r="K462" s="41"/>
      <c r="L462" s="41"/>
    </row>
    <row r="463" ht="28" customHeight="1" spans="1:12" x14ac:dyDescent="0.25">
      <c r="A463" s="21" t="s">
        <v>46</v>
      </c>
      <c r="C463" s="22" t="s">
        <v>47</v>
      </c>
      <c r="D463" s="23">
        <f>INDEX('会費の受け取り'!$A$10:$A$57,43)&amp;""</f>
      </c>
      <c r="E463" s="24"/>
      <c r="F463" s="25">
        <f>IF(INDEX('会費の受け取り'!$H$10:$H$57,43)&amp;""="書き損じ","書き損じ","領　収　書")</f>
      </c>
      <c r="G463" s="25"/>
      <c r="H463" s="25"/>
      <c r="I463" s="25"/>
      <c r="J463" s="25"/>
      <c r="K463" s="22" t="s">
        <v>47</v>
      </c>
      <c r="L463" s="23">
        <f>INDEX('会費の受け取り'!$A$10:$A$57,43)&amp;""</f>
      </c>
    </row>
    <row r="464" ht="22" customHeight="1" spans="1:12" x14ac:dyDescent="0.25">
      <c r="A464" s="26" t="s">
        <v>48</v>
      </c>
      <c r="B464" s="27">
        <f>IF(INDEX('会費の受け取り'!$F$10:$F$57,43)="","　　年　　月　　日",INDEX('会費の受け取り'!$F$10:$F$57,43))</f>
      </c>
      <c r="C464" s="27"/>
      <c r="D464" s="27"/>
      <c r="E464" s="24"/>
      <c r="J464" s="28">
        <f>IF(INDEX('会費の受け取り'!$F$10:$F$57,43)="","　　年　　月　　日",INDEX('会費の受け取り'!$F$10:$F$57,43))</f>
      </c>
      <c r="K464" s="28"/>
      <c r="L464" s="28"/>
    </row>
    <row r="465" ht="26" customHeight="1" spans="1:11" x14ac:dyDescent="0.25">
      <c r="A465" s="26" t="s">
        <v>29</v>
      </c>
      <c r="B465" s="29">
        <f>INDEX('会費の受け取り'!$C$10:$C$57,43)&amp;""</f>
      </c>
      <c r="C465" s="29"/>
      <c r="D465" s="29"/>
      <c r="E465" s="24"/>
      <c r="F465" s="30">
        <f>INDEX('会費の受け取り'!$C$10:$C$57,43)&amp;""</f>
      </c>
      <c r="G465" s="30"/>
      <c r="H465" s="30"/>
      <c r="I465" s="30"/>
      <c r="J465" s="30"/>
      <c r="K465" s="31" t="s">
        <v>49</v>
      </c>
    </row>
    <row r="466" ht="32" customHeight="1" spans="1:11" x14ac:dyDescent="0.25">
      <c r="A466" s="26" t="s">
        <v>50</v>
      </c>
      <c r="B466" s="32">
        <f>IF(INDEX('会費の受け取り'!$C$10:$C$57,43)="","",IF(INDEX('会費の受け取り'!$D$10:$D$57,43)="",N('会費の受け取り'!$B$5),INDEX('会費の受け取り'!$D$10:$D$57,43)))</f>
      </c>
      <c r="C466" s="32"/>
      <c r="D466" s="32"/>
      <c r="E466" s="24"/>
      <c r="F466" s="23" t="s">
        <v>50</v>
      </c>
      <c r="G466" s="33">
        <f>IF(INDEX('会費の受け取り'!$C$10:$C$57,43)="","",IF(INDEX('会費の受け取り'!$D$10:$D$57,43)="",N('会費の受け取り'!$B$5),INDEX('会費の受け取り'!$D$10:$D$57,43)))</f>
      </c>
      <c r="H466" s="33"/>
      <c r="I466" s="33"/>
      <c r="J466" s="33"/>
      <c r="K466" s="33"/>
    </row>
    <row r="467" ht="38" customHeight="1" spans="1:12" x14ac:dyDescent="0.25">
      <c r="A467" s="26" t="s">
        <v>51</v>
      </c>
      <c r="B467" s="34">
        <f>IF(INDEX('会費の受け取り'!$C$10:$C$57,43)="","",IF(INDEX('会費の受け取り'!$E$10:$E$57,43)&amp;""&lt;&gt;"",INDEX('会費の受け取り'!$E$10:$E$57,43)&amp;"",'会費の受け取り'!$B$6&amp;""))</f>
      </c>
      <c r="C467" s="34"/>
      <c r="D467" s="34"/>
      <c r="E467" s="24"/>
      <c r="F467" s="35">
        <f>"但し "&amp;IF(INDEX('会費の受け取り'!$C$10:$C$57,43)="","",IF(INDEX('会費の受け取り'!$E$10:$E$57,43)&amp;""&lt;&gt;"",INDEX('会費の受け取り'!$E$10:$E$57,43)&amp;"",'会費の受け取り'!$B$6&amp;""))</f>
      </c>
      <c r="G467" s="35"/>
      <c r="H467" s="35"/>
      <c r="I467" s="35"/>
      <c r="J467" s="35"/>
      <c r="K467" s="35"/>
      <c r="L467" s="35"/>
    </row>
    <row r="468" ht="22" customHeight="1" spans="1:12" x14ac:dyDescent="0.25">
      <c r="A468" s="26" t="s">
        <v>33</v>
      </c>
      <c r="B468" s="29">
        <f>IF(INDEX('会費の受け取り'!$G$10:$G$57,43)&amp;""&lt;&gt;"",INDEX('会費の受け取り'!$G$10:$G$57,43)&amp;"",'会費の受け取り'!$B$4&amp;"")</f>
      </c>
      <c r="C468" s="29"/>
      <c r="D468" s="29"/>
      <c r="E468" s="24"/>
      <c r="F468" s="36" t="s">
        <v>52</v>
      </c>
      <c r="G468" s="36"/>
      <c r="H468" s="36"/>
      <c r="I468" s="36"/>
      <c r="J468" s="36"/>
      <c r="K468" s="36"/>
      <c r="L468" s="36"/>
    </row>
    <row r="469" ht="20" customHeight="1" spans="1:5" x14ac:dyDescent="0.25">
      <c r="A469" s="37">
        <f>IF(INDEX('会費の受け取り'!$H$10:$H$57,43)&amp;""="書き損じ","書き損じ","")</f>
      </c>
      <c r="B469" s="37"/>
      <c r="C469" s="37"/>
      <c r="D469" s="37"/>
      <c r="E469" s="24"/>
    </row>
    <row r="470" ht="22" customHeight="1" spans="5:12" x14ac:dyDescent="0.25">
      <c r="E470" s="24"/>
      <c r="H470" s="38">
        <f>IF('会費の受け取り'!$B$3="","",'会費の受け取り'!$B$3)</f>
      </c>
      <c r="I470" s="38"/>
      <c r="J470" s="38"/>
      <c r="K470" s="38"/>
      <c r="L470" s="38"/>
    </row>
    <row r="471" ht="28" customHeight="1" spans="5:12" x14ac:dyDescent="0.25">
      <c r="E471" s="24"/>
      <c r="H471" s="39">
        <f>IF(INDEX('会費の受け取り'!$G$10:$G$57,43)&amp;""&lt;&gt;"",INDEX('会費の受け取り'!$G$10:$G$57,43)&amp;"",'会費の受け取り'!$B$4&amp;"")</f>
      </c>
      <c r="I471" s="39"/>
      <c r="J471" s="39"/>
      <c r="K471" s="39"/>
      <c r="L471" s="40" t="s">
        <v>53</v>
      </c>
    </row>
    <row r="472" ht="10" customHeight="1" spans="5:5" x14ac:dyDescent="0.25">
      <c r="E472" s="24"/>
    </row>
    <row r="473" ht="12" customHeight="1" spans="1:12" x14ac:dyDescent="0.25">
      <c r="A473" s="41"/>
      <c r="B473" s="41"/>
      <c r="C473" s="41"/>
      <c r="D473" s="41"/>
      <c r="E473" s="42"/>
      <c r="F473" s="41"/>
      <c r="G473" s="41"/>
      <c r="H473" s="41"/>
      <c r="I473" s="41"/>
      <c r="J473" s="41"/>
      <c r="K473" s="41"/>
      <c r="L473" s="41"/>
    </row>
    <row r="474" ht="28" customHeight="1" spans="1:12" x14ac:dyDescent="0.25">
      <c r="A474" s="21" t="s">
        <v>46</v>
      </c>
      <c r="C474" s="22" t="s">
        <v>47</v>
      </c>
      <c r="D474" s="23">
        <f>INDEX('会費の受け取り'!$A$10:$A$57,44)&amp;""</f>
      </c>
      <c r="E474" s="24"/>
      <c r="F474" s="25">
        <f>IF(INDEX('会費の受け取り'!$H$10:$H$57,44)&amp;""="書き損じ","書き損じ","領　収　書")</f>
      </c>
      <c r="G474" s="25"/>
      <c r="H474" s="25"/>
      <c r="I474" s="25"/>
      <c r="J474" s="25"/>
      <c r="K474" s="22" t="s">
        <v>47</v>
      </c>
      <c r="L474" s="23">
        <f>INDEX('会費の受け取り'!$A$10:$A$57,44)&amp;""</f>
      </c>
    </row>
    <row r="475" ht="22" customHeight="1" spans="1:12" x14ac:dyDescent="0.25">
      <c r="A475" s="26" t="s">
        <v>48</v>
      </c>
      <c r="B475" s="27">
        <f>IF(INDEX('会費の受け取り'!$F$10:$F$57,44)="","　　年　　月　　日",INDEX('会費の受け取り'!$F$10:$F$57,44))</f>
      </c>
      <c r="C475" s="27"/>
      <c r="D475" s="27"/>
      <c r="E475" s="24"/>
      <c r="J475" s="28">
        <f>IF(INDEX('会費の受け取り'!$F$10:$F$57,44)="","　　年　　月　　日",INDEX('会費の受け取り'!$F$10:$F$57,44))</f>
      </c>
      <c r="K475" s="28"/>
      <c r="L475" s="28"/>
    </row>
    <row r="476" ht="26" customHeight="1" spans="1:11" x14ac:dyDescent="0.25">
      <c r="A476" s="26" t="s">
        <v>29</v>
      </c>
      <c r="B476" s="29">
        <f>INDEX('会費の受け取り'!$C$10:$C$57,44)&amp;""</f>
      </c>
      <c r="C476" s="29"/>
      <c r="D476" s="29"/>
      <c r="E476" s="24"/>
      <c r="F476" s="30">
        <f>INDEX('会費の受け取り'!$C$10:$C$57,44)&amp;""</f>
      </c>
      <c r="G476" s="30"/>
      <c r="H476" s="30"/>
      <c r="I476" s="30"/>
      <c r="J476" s="30"/>
      <c r="K476" s="31" t="s">
        <v>49</v>
      </c>
    </row>
    <row r="477" ht="32" customHeight="1" spans="1:11" x14ac:dyDescent="0.25">
      <c r="A477" s="26" t="s">
        <v>50</v>
      </c>
      <c r="B477" s="32">
        <f>IF(INDEX('会費の受け取り'!$C$10:$C$57,44)="","",IF(INDEX('会費の受け取り'!$D$10:$D$57,44)="",N('会費の受け取り'!$B$5),INDEX('会費の受け取り'!$D$10:$D$57,44)))</f>
      </c>
      <c r="C477" s="32"/>
      <c r="D477" s="32"/>
      <c r="E477" s="24"/>
      <c r="F477" s="23" t="s">
        <v>50</v>
      </c>
      <c r="G477" s="33">
        <f>IF(INDEX('会費の受け取り'!$C$10:$C$57,44)="","",IF(INDEX('会費の受け取り'!$D$10:$D$57,44)="",N('会費の受け取り'!$B$5),INDEX('会費の受け取り'!$D$10:$D$57,44)))</f>
      </c>
      <c r="H477" s="33"/>
      <c r="I477" s="33"/>
      <c r="J477" s="33"/>
      <c r="K477" s="33"/>
    </row>
    <row r="478" ht="38" customHeight="1" spans="1:12" x14ac:dyDescent="0.25">
      <c r="A478" s="26" t="s">
        <v>51</v>
      </c>
      <c r="B478" s="34">
        <f>IF(INDEX('会費の受け取り'!$C$10:$C$57,44)="","",IF(INDEX('会費の受け取り'!$E$10:$E$57,44)&amp;""&lt;&gt;"",INDEX('会費の受け取り'!$E$10:$E$57,44)&amp;"",'会費の受け取り'!$B$6&amp;""))</f>
      </c>
      <c r="C478" s="34"/>
      <c r="D478" s="34"/>
      <c r="E478" s="24"/>
      <c r="F478" s="35">
        <f>"但し "&amp;IF(INDEX('会費の受け取り'!$C$10:$C$57,44)="","",IF(INDEX('会費の受け取り'!$E$10:$E$57,44)&amp;""&lt;&gt;"",INDEX('会費の受け取り'!$E$10:$E$57,44)&amp;"",'会費の受け取り'!$B$6&amp;""))</f>
      </c>
      <c r="G478" s="35"/>
      <c r="H478" s="35"/>
      <c r="I478" s="35"/>
      <c r="J478" s="35"/>
      <c r="K478" s="35"/>
      <c r="L478" s="35"/>
    </row>
    <row r="479" ht="22" customHeight="1" spans="1:12" x14ac:dyDescent="0.25">
      <c r="A479" s="26" t="s">
        <v>33</v>
      </c>
      <c r="B479" s="29">
        <f>IF(INDEX('会費の受け取り'!$G$10:$G$57,44)&amp;""&lt;&gt;"",INDEX('会費の受け取り'!$G$10:$G$57,44)&amp;"",'会費の受け取り'!$B$4&amp;"")</f>
      </c>
      <c r="C479" s="29"/>
      <c r="D479" s="29"/>
      <c r="E479" s="24"/>
      <c r="F479" s="36" t="s">
        <v>52</v>
      </c>
      <c r="G479" s="36"/>
      <c r="H479" s="36"/>
      <c r="I479" s="36"/>
      <c r="J479" s="36"/>
      <c r="K479" s="36"/>
      <c r="L479" s="36"/>
    </row>
    <row r="480" ht="20" customHeight="1" spans="1:5" x14ac:dyDescent="0.25">
      <c r="A480" s="37">
        <f>IF(INDEX('会費の受け取り'!$H$10:$H$57,44)&amp;""="書き損じ","書き損じ","")</f>
      </c>
      <c r="B480" s="37"/>
      <c r="C480" s="37"/>
      <c r="D480" s="37"/>
      <c r="E480" s="24"/>
    </row>
    <row r="481" ht="22" customHeight="1" spans="5:12" x14ac:dyDescent="0.25">
      <c r="E481" s="24"/>
      <c r="H481" s="38">
        <f>IF('会費の受け取り'!$B$3="","",'会費の受け取り'!$B$3)</f>
      </c>
      <c r="I481" s="38"/>
      <c r="J481" s="38"/>
      <c r="K481" s="38"/>
      <c r="L481" s="38"/>
    </row>
    <row r="482" ht="28" customHeight="1" spans="5:12" x14ac:dyDescent="0.25">
      <c r="E482" s="24"/>
      <c r="H482" s="39">
        <f>IF(INDEX('会費の受け取り'!$G$10:$G$57,44)&amp;""&lt;&gt;"",INDEX('会費の受け取り'!$G$10:$G$57,44)&amp;"",'会費の受け取り'!$B$4&amp;"")</f>
      </c>
      <c r="I482" s="39"/>
      <c r="J482" s="39"/>
      <c r="K482" s="39"/>
      <c r="L482" s="40" t="s">
        <v>53</v>
      </c>
    </row>
    <row r="483" ht="10" customHeight="1" spans="5:5" x14ac:dyDescent="0.25">
      <c r="E483" s="24"/>
    </row>
    <row r="484" ht="12" customHeight="1" spans="1:12" x14ac:dyDescent="0.25">
      <c r="A484" s="41"/>
      <c r="B484" s="41"/>
      <c r="C484" s="41"/>
      <c r="D484" s="41"/>
      <c r="E484" s="42"/>
      <c r="F484" s="41"/>
      <c r="G484" s="41"/>
      <c r="H484" s="41"/>
      <c r="I484" s="41"/>
      <c r="J484" s="41"/>
      <c r="K484" s="41"/>
      <c r="L484" s="41"/>
    </row>
    <row r="485" ht="28" customHeight="1" spans="1:12" x14ac:dyDescent="0.25">
      <c r="A485" s="21" t="s">
        <v>46</v>
      </c>
      <c r="C485" s="22" t="s">
        <v>47</v>
      </c>
      <c r="D485" s="23">
        <f>INDEX('会費の受け取り'!$A$10:$A$57,45)&amp;""</f>
      </c>
      <c r="E485" s="24"/>
      <c r="F485" s="25">
        <f>IF(INDEX('会費の受け取り'!$H$10:$H$57,45)&amp;""="書き損じ","書き損じ","領　収　書")</f>
      </c>
      <c r="G485" s="25"/>
      <c r="H485" s="25"/>
      <c r="I485" s="25"/>
      <c r="J485" s="25"/>
      <c r="K485" s="22" t="s">
        <v>47</v>
      </c>
      <c r="L485" s="23">
        <f>INDEX('会費の受け取り'!$A$10:$A$57,45)&amp;""</f>
      </c>
    </row>
    <row r="486" ht="22" customHeight="1" spans="1:12" x14ac:dyDescent="0.25">
      <c r="A486" s="26" t="s">
        <v>48</v>
      </c>
      <c r="B486" s="27">
        <f>IF(INDEX('会費の受け取り'!$F$10:$F$57,45)="","　　年　　月　　日",INDEX('会費の受け取り'!$F$10:$F$57,45))</f>
      </c>
      <c r="C486" s="27"/>
      <c r="D486" s="27"/>
      <c r="E486" s="24"/>
      <c r="J486" s="28">
        <f>IF(INDEX('会費の受け取り'!$F$10:$F$57,45)="","　　年　　月　　日",INDEX('会費の受け取り'!$F$10:$F$57,45))</f>
      </c>
      <c r="K486" s="28"/>
      <c r="L486" s="28"/>
    </row>
    <row r="487" ht="26" customHeight="1" spans="1:11" x14ac:dyDescent="0.25">
      <c r="A487" s="26" t="s">
        <v>29</v>
      </c>
      <c r="B487" s="29">
        <f>INDEX('会費の受け取り'!$C$10:$C$57,45)&amp;""</f>
      </c>
      <c r="C487" s="29"/>
      <c r="D487" s="29"/>
      <c r="E487" s="24"/>
      <c r="F487" s="30">
        <f>INDEX('会費の受け取り'!$C$10:$C$57,45)&amp;""</f>
      </c>
      <c r="G487" s="30"/>
      <c r="H487" s="30"/>
      <c r="I487" s="30"/>
      <c r="J487" s="30"/>
      <c r="K487" s="31" t="s">
        <v>49</v>
      </c>
    </row>
    <row r="488" ht="32" customHeight="1" spans="1:11" x14ac:dyDescent="0.25">
      <c r="A488" s="26" t="s">
        <v>50</v>
      </c>
      <c r="B488" s="32">
        <f>IF(INDEX('会費の受け取り'!$C$10:$C$57,45)="","",IF(INDEX('会費の受け取り'!$D$10:$D$57,45)="",N('会費の受け取り'!$B$5),INDEX('会費の受け取り'!$D$10:$D$57,45)))</f>
      </c>
      <c r="C488" s="32"/>
      <c r="D488" s="32"/>
      <c r="E488" s="24"/>
      <c r="F488" s="23" t="s">
        <v>50</v>
      </c>
      <c r="G488" s="33">
        <f>IF(INDEX('会費の受け取り'!$C$10:$C$57,45)="","",IF(INDEX('会費の受け取り'!$D$10:$D$57,45)="",N('会費の受け取り'!$B$5),INDEX('会費の受け取り'!$D$10:$D$57,45)))</f>
      </c>
      <c r="H488" s="33"/>
      <c r="I488" s="33"/>
      <c r="J488" s="33"/>
      <c r="K488" s="33"/>
    </row>
    <row r="489" ht="38" customHeight="1" spans="1:12" x14ac:dyDescent="0.25">
      <c r="A489" s="26" t="s">
        <v>51</v>
      </c>
      <c r="B489" s="34">
        <f>IF(INDEX('会費の受け取り'!$C$10:$C$57,45)="","",IF(INDEX('会費の受け取り'!$E$10:$E$57,45)&amp;""&lt;&gt;"",INDEX('会費の受け取り'!$E$10:$E$57,45)&amp;"",'会費の受け取り'!$B$6&amp;""))</f>
      </c>
      <c r="C489" s="34"/>
      <c r="D489" s="34"/>
      <c r="E489" s="24"/>
      <c r="F489" s="35">
        <f>"但し "&amp;IF(INDEX('会費の受け取り'!$C$10:$C$57,45)="","",IF(INDEX('会費の受け取り'!$E$10:$E$57,45)&amp;""&lt;&gt;"",INDEX('会費の受け取り'!$E$10:$E$57,45)&amp;"",'会費の受け取り'!$B$6&amp;""))</f>
      </c>
      <c r="G489" s="35"/>
      <c r="H489" s="35"/>
      <c r="I489" s="35"/>
      <c r="J489" s="35"/>
      <c r="K489" s="35"/>
      <c r="L489" s="35"/>
    </row>
    <row r="490" ht="22" customHeight="1" spans="1:12" x14ac:dyDescent="0.25">
      <c r="A490" s="26" t="s">
        <v>33</v>
      </c>
      <c r="B490" s="29">
        <f>IF(INDEX('会費の受け取り'!$G$10:$G$57,45)&amp;""&lt;&gt;"",INDEX('会費の受け取り'!$G$10:$G$57,45)&amp;"",'会費の受け取り'!$B$4&amp;"")</f>
      </c>
      <c r="C490" s="29"/>
      <c r="D490" s="29"/>
      <c r="E490" s="24"/>
      <c r="F490" s="36" t="s">
        <v>52</v>
      </c>
      <c r="G490" s="36"/>
      <c r="H490" s="36"/>
      <c r="I490" s="36"/>
      <c r="J490" s="36"/>
      <c r="K490" s="36"/>
      <c r="L490" s="36"/>
    </row>
    <row r="491" ht="20" customHeight="1" spans="1:5" x14ac:dyDescent="0.25">
      <c r="A491" s="37">
        <f>IF(INDEX('会費の受け取り'!$H$10:$H$57,45)&amp;""="書き損じ","書き損じ","")</f>
      </c>
      <c r="B491" s="37"/>
      <c r="C491" s="37"/>
      <c r="D491" s="37"/>
      <c r="E491" s="24"/>
    </row>
    <row r="492" ht="22" customHeight="1" spans="5:12" x14ac:dyDescent="0.25">
      <c r="E492" s="24"/>
      <c r="H492" s="38">
        <f>IF('会費の受け取り'!$B$3="","",'会費の受け取り'!$B$3)</f>
      </c>
      <c r="I492" s="38"/>
      <c r="J492" s="38"/>
      <c r="K492" s="38"/>
      <c r="L492" s="38"/>
    </row>
    <row r="493" ht="28" customHeight="1" spans="5:12" x14ac:dyDescent="0.25">
      <c r="E493" s="24"/>
      <c r="H493" s="39">
        <f>IF(INDEX('会費の受け取り'!$G$10:$G$57,45)&amp;""&lt;&gt;"",INDEX('会費の受け取り'!$G$10:$G$57,45)&amp;"",'会費の受け取り'!$B$4&amp;"")</f>
      </c>
      <c r="I493" s="39"/>
      <c r="J493" s="39"/>
      <c r="K493" s="39"/>
      <c r="L493" s="40" t="s">
        <v>53</v>
      </c>
    </row>
    <row r="494" ht="10" customHeight="1" spans="5:5" x14ac:dyDescent="0.25">
      <c r="E494" s="24"/>
    </row>
    <row r="495" ht="12" customHeight="1" spans="1:12" x14ac:dyDescent="0.25">
      <c r="A495" s="41"/>
      <c r="B495" s="41"/>
      <c r="C495" s="41"/>
      <c r="D495" s="41"/>
      <c r="E495" s="42"/>
      <c r="F495" s="41"/>
      <c r="G495" s="41"/>
      <c r="H495" s="41"/>
      <c r="I495" s="41"/>
      <c r="J495" s="41"/>
      <c r="K495" s="41"/>
      <c r="L495" s="41"/>
    </row>
    <row r="496" ht="28" customHeight="1" spans="1:12" x14ac:dyDescent="0.25">
      <c r="A496" s="21" t="s">
        <v>46</v>
      </c>
      <c r="C496" s="22" t="s">
        <v>47</v>
      </c>
      <c r="D496" s="23">
        <f>INDEX('会費の受け取り'!$A$10:$A$57,46)&amp;""</f>
      </c>
      <c r="E496" s="24"/>
      <c r="F496" s="25">
        <f>IF(INDEX('会費の受け取り'!$H$10:$H$57,46)&amp;""="書き損じ","書き損じ","領　収　書")</f>
      </c>
      <c r="G496" s="25"/>
      <c r="H496" s="25"/>
      <c r="I496" s="25"/>
      <c r="J496" s="25"/>
      <c r="K496" s="22" t="s">
        <v>47</v>
      </c>
      <c r="L496" s="23">
        <f>INDEX('会費の受け取り'!$A$10:$A$57,46)&amp;""</f>
      </c>
    </row>
    <row r="497" ht="22" customHeight="1" spans="1:12" x14ac:dyDescent="0.25">
      <c r="A497" s="26" t="s">
        <v>48</v>
      </c>
      <c r="B497" s="27">
        <f>IF(INDEX('会費の受け取り'!$F$10:$F$57,46)="","　　年　　月　　日",INDEX('会費の受け取り'!$F$10:$F$57,46))</f>
      </c>
      <c r="C497" s="27"/>
      <c r="D497" s="27"/>
      <c r="E497" s="24"/>
      <c r="J497" s="28">
        <f>IF(INDEX('会費の受け取り'!$F$10:$F$57,46)="","　　年　　月　　日",INDEX('会費の受け取り'!$F$10:$F$57,46))</f>
      </c>
      <c r="K497" s="28"/>
      <c r="L497" s="28"/>
    </row>
    <row r="498" ht="26" customHeight="1" spans="1:11" x14ac:dyDescent="0.25">
      <c r="A498" s="26" t="s">
        <v>29</v>
      </c>
      <c r="B498" s="29">
        <f>INDEX('会費の受け取り'!$C$10:$C$57,46)&amp;""</f>
      </c>
      <c r="C498" s="29"/>
      <c r="D498" s="29"/>
      <c r="E498" s="24"/>
      <c r="F498" s="30">
        <f>INDEX('会費の受け取り'!$C$10:$C$57,46)&amp;""</f>
      </c>
      <c r="G498" s="30"/>
      <c r="H498" s="30"/>
      <c r="I498" s="30"/>
      <c r="J498" s="30"/>
      <c r="K498" s="31" t="s">
        <v>49</v>
      </c>
    </row>
    <row r="499" ht="32" customHeight="1" spans="1:11" x14ac:dyDescent="0.25">
      <c r="A499" s="26" t="s">
        <v>50</v>
      </c>
      <c r="B499" s="32">
        <f>IF(INDEX('会費の受け取り'!$C$10:$C$57,46)="","",IF(INDEX('会費の受け取り'!$D$10:$D$57,46)="",N('会費の受け取り'!$B$5),INDEX('会費の受け取り'!$D$10:$D$57,46)))</f>
      </c>
      <c r="C499" s="32"/>
      <c r="D499" s="32"/>
      <c r="E499" s="24"/>
      <c r="F499" s="23" t="s">
        <v>50</v>
      </c>
      <c r="G499" s="33">
        <f>IF(INDEX('会費の受け取り'!$C$10:$C$57,46)="","",IF(INDEX('会費の受け取り'!$D$10:$D$57,46)="",N('会費の受け取り'!$B$5),INDEX('会費の受け取り'!$D$10:$D$57,46)))</f>
      </c>
      <c r="H499" s="33"/>
      <c r="I499" s="33"/>
      <c r="J499" s="33"/>
      <c r="K499" s="33"/>
    </row>
    <row r="500" ht="38" customHeight="1" spans="1:12" x14ac:dyDescent="0.25">
      <c r="A500" s="26" t="s">
        <v>51</v>
      </c>
      <c r="B500" s="34">
        <f>IF(INDEX('会費の受け取り'!$C$10:$C$57,46)="","",IF(INDEX('会費の受け取り'!$E$10:$E$57,46)&amp;""&lt;&gt;"",INDEX('会費の受け取り'!$E$10:$E$57,46)&amp;"",'会費の受け取り'!$B$6&amp;""))</f>
      </c>
      <c r="C500" s="34"/>
      <c r="D500" s="34"/>
      <c r="E500" s="24"/>
      <c r="F500" s="35">
        <f>"但し "&amp;IF(INDEX('会費の受け取り'!$C$10:$C$57,46)="","",IF(INDEX('会費の受け取り'!$E$10:$E$57,46)&amp;""&lt;&gt;"",INDEX('会費の受け取り'!$E$10:$E$57,46)&amp;"",'会費の受け取り'!$B$6&amp;""))</f>
      </c>
      <c r="G500" s="35"/>
      <c r="H500" s="35"/>
      <c r="I500" s="35"/>
      <c r="J500" s="35"/>
      <c r="K500" s="35"/>
      <c r="L500" s="35"/>
    </row>
    <row r="501" ht="22" customHeight="1" spans="1:12" x14ac:dyDescent="0.25">
      <c r="A501" s="26" t="s">
        <v>33</v>
      </c>
      <c r="B501" s="29">
        <f>IF(INDEX('会費の受け取り'!$G$10:$G$57,46)&amp;""&lt;&gt;"",INDEX('会費の受け取り'!$G$10:$G$57,46)&amp;"",'会費の受け取り'!$B$4&amp;"")</f>
      </c>
      <c r="C501" s="29"/>
      <c r="D501" s="29"/>
      <c r="E501" s="24"/>
      <c r="F501" s="36" t="s">
        <v>52</v>
      </c>
      <c r="G501" s="36"/>
      <c r="H501" s="36"/>
      <c r="I501" s="36"/>
      <c r="J501" s="36"/>
      <c r="K501" s="36"/>
      <c r="L501" s="36"/>
    </row>
    <row r="502" ht="20" customHeight="1" spans="1:5" x14ac:dyDescent="0.25">
      <c r="A502" s="37">
        <f>IF(INDEX('会費の受け取り'!$H$10:$H$57,46)&amp;""="書き損じ","書き損じ","")</f>
      </c>
      <c r="B502" s="37"/>
      <c r="C502" s="37"/>
      <c r="D502" s="37"/>
      <c r="E502" s="24"/>
    </row>
    <row r="503" ht="22" customHeight="1" spans="5:12" x14ac:dyDescent="0.25">
      <c r="E503" s="24"/>
      <c r="H503" s="38">
        <f>IF('会費の受け取り'!$B$3="","",'会費の受け取り'!$B$3)</f>
      </c>
      <c r="I503" s="38"/>
      <c r="J503" s="38"/>
      <c r="K503" s="38"/>
      <c r="L503" s="38"/>
    </row>
    <row r="504" ht="28" customHeight="1" spans="5:12" x14ac:dyDescent="0.25">
      <c r="E504" s="24"/>
      <c r="H504" s="39">
        <f>IF(INDEX('会費の受け取り'!$G$10:$G$57,46)&amp;""&lt;&gt;"",INDEX('会費の受け取り'!$G$10:$G$57,46)&amp;"",'会費の受け取り'!$B$4&amp;"")</f>
      </c>
      <c r="I504" s="39"/>
      <c r="J504" s="39"/>
      <c r="K504" s="39"/>
      <c r="L504" s="40" t="s">
        <v>53</v>
      </c>
    </row>
    <row r="505" ht="10" customHeight="1" spans="5:5" x14ac:dyDescent="0.25">
      <c r="E505" s="24"/>
    </row>
    <row r="506" ht="12" customHeight="1" spans="1:12" x14ac:dyDescent="0.25">
      <c r="A506" s="41"/>
      <c r="B506" s="41"/>
      <c r="C506" s="41"/>
      <c r="D506" s="41"/>
      <c r="E506" s="42"/>
      <c r="F506" s="41"/>
      <c r="G506" s="41"/>
      <c r="H506" s="41"/>
      <c r="I506" s="41"/>
      <c r="J506" s="41"/>
      <c r="K506" s="41"/>
      <c r="L506" s="41"/>
    </row>
    <row r="507" ht="28" customHeight="1" spans="1:12" x14ac:dyDescent="0.25">
      <c r="A507" s="21" t="s">
        <v>46</v>
      </c>
      <c r="C507" s="22" t="s">
        <v>47</v>
      </c>
      <c r="D507" s="23">
        <f>INDEX('会費の受け取り'!$A$10:$A$57,47)&amp;""</f>
      </c>
      <c r="E507" s="24"/>
      <c r="F507" s="25">
        <f>IF(INDEX('会費の受け取り'!$H$10:$H$57,47)&amp;""="書き損じ","書き損じ","領　収　書")</f>
      </c>
      <c r="G507" s="25"/>
      <c r="H507" s="25"/>
      <c r="I507" s="25"/>
      <c r="J507" s="25"/>
      <c r="K507" s="22" t="s">
        <v>47</v>
      </c>
      <c r="L507" s="23">
        <f>INDEX('会費の受け取り'!$A$10:$A$57,47)&amp;""</f>
      </c>
    </row>
    <row r="508" ht="22" customHeight="1" spans="1:12" x14ac:dyDescent="0.25">
      <c r="A508" s="26" t="s">
        <v>48</v>
      </c>
      <c r="B508" s="27">
        <f>IF(INDEX('会費の受け取り'!$F$10:$F$57,47)="","　　年　　月　　日",INDEX('会費の受け取り'!$F$10:$F$57,47))</f>
      </c>
      <c r="C508" s="27"/>
      <c r="D508" s="27"/>
      <c r="E508" s="24"/>
      <c r="J508" s="28">
        <f>IF(INDEX('会費の受け取り'!$F$10:$F$57,47)="","　　年　　月　　日",INDEX('会費の受け取り'!$F$10:$F$57,47))</f>
      </c>
      <c r="K508" s="28"/>
      <c r="L508" s="28"/>
    </row>
    <row r="509" ht="26" customHeight="1" spans="1:11" x14ac:dyDescent="0.25">
      <c r="A509" s="26" t="s">
        <v>29</v>
      </c>
      <c r="B509" s="29">
        <f>INDEX('会費の受け取り'!$C$10:$C$57,47)&amp;""</f>
      </c>
      <c r="C509" s="29"/>
      <c r="D509" s="29"/>
      <c r="E509" s="24"/>
      <c r="F509" s="30">
        <f>INDEX('会費の受け取り'!$C$10:$C$57,47)&amp;""</f>
      </c>
      <c r="G509" s="30"/>
      <c r="H509" s="30"/>
      <c r="I509" s="30"/>
      <c r="J509" s="30"/>
      <c r="K509" s="31" t="s">
        <v>49</v>
      </c>
    </row>
    <row r="510" ht="32" customHeight="1" spans="1:11" x14ac:dyDescent="0.25">
      <c r="A510" s="26" t="s">
        <v>50</v>
      </c>
      <c r="B510" s="32">
        <f>IF(INDEX('会費の受け取り'!$C$10:$C$57,47)="","",IF(INDEX('会費の受け取り'!$D$10:$D$57,47)="",N('会費の受け取り'!$B$5),INDEX('会費の受け取り'!$D$10:$D$57,47)))</f>
      </c>
      <c r="C510" s="32"/>
      <c r="D510" s="32"/>
      <c r="E510" s="24"/>
      <c r="F510" s="23" t="s">
        <v>50</v>
      </c>
      <c r="G510" s="33">
        <f>IF(INDEX('会費の受け取り'!$C$10:$C$57,47)="","",IF(INDEX('会費の受け取り'!$D$10:$D$57,47)="",N('会費の受け取り'!$B$5),INDEX('会費の受け取り'!$D$10:$D$57,47)))</f>
      </c>
      <c r="H510" s="33"/>
      <c r="I510" s="33"/>
      <c r="J510" s="33"/>
      <c r="K510" s="33"/>
    </row>
    <row r="511" ht="38" customHeight="1" spans="1:12" x14ac:dyDescent="0.25">
      <c r="A511" s="26" t="s">
        <v>51</v>
      </c>
      <c r="B511" s="34">
        <f>IF(INDEX('会費の受け取り'!$C$10:$C$57,47)="","",IF(INDEX('会費の受け取り'!$E$10:$E$57,47)&amp;""&lt;&gt;"",INDEX('会費の受け取り'!$E$10:$E$57,47)&amp;"",'会費の受け取り'!$B$6&amp;""))</f>
      </c>
      <c r="C511" s="34"/>
      <c r="D511" s="34"/>
      <c r="E511" s="24"/>
      <c r="F511" s="35">
        <f>"但し "&amp;IF(INDEX('会費の受け取り'!$C$10:$C$57,47)="","",IF(INDEX('会費の受け取り'!$E$10:$E$57,47)&amp;""&lt;&gt;"",INDEX('会費の受け取り'!$E$10:$E$57,47)&amp;"",'会費の受け取り'!$B$6&amp;""))</f>
      </c>
      <c r="G511" s="35"/>
      <c r="H511" s="35"/>
      <c r="I511" s="35"/>
      <c r="J511" s="35"/>
      <c r="K511" s="35"/>
      <c r="L511" s="35"/>
    </row>
    <row r="512" ht="22" customHeight="1" spans="1:12" x14ac:dyDescent="0.25">
      <c r="A512" s="26" t="s">
        <v>33</v>
      </c>
      <c r="B512" s="29">
        <f>IF(INDEX('会費の受け取り'!$G$10:$G$57,47)&amp;""&lt;&gt;"",INDEX('会費の受け取り'!$G$10:$G$57,47)&amp;"",'会費の受け取り'!$B$4&amp;"")</f>
      </c>
      <c r="C512" s="29"/>
      <c r="D512" s="29"/>
      <c r="E512" s="24"/>
      <c r="F512" s="36" t="s">
        <v>52</v>
      </c>
      <c r="G512" s="36"/>
      <c r="H512" s="36"/>
      <c r="I512" s="36"/>
      <c r="J512" s="36"/>
      <c r="K512" s="36"/>
      <c r="L512" s="36"/>
    </row>
    <row r="513" ht="20" customHeight="1" spans="1:5" x14ac:dyDescent="0.25">
      <c r="A513" s="37">
        <f>IF(INDEX('会費の受け取り'!$H$10:$H$57,47)&amp;""="書き損じ","書き損じ","")</f>
      </c>
      <c r="B513" s="37"/>
      <c r="C513" s="37"/>
      <c r="D513" s="37"/>
      <c r="E513" s="24"/>
    </row>
    <row r="514" ht="22" customHeight="1" spans="5:12" x14ac:dyDescent="0.25">
      <c r="E514" s="24"/>
      <c r="H514" s="38">
        <f>IF('会費の受け取り'!$B$3="","",'会費の受け取り'!$B$3)</f>
      </c>
      <c r="I514" s="38"/>
      <c r="J514" s="38"/>
      <c r="K514" s="38"/>
      <c r="L514" s="38"/>
    </row>
    <row r="515" ht="28" customHeight="1" spans="5:12" x14ac:dyDescent="0.25">
      <c r="E515" s="24"/>
      <c r="H515" s="39">
        <f>IF(INDEX('会費の受け取り'!$G$10:$G$57,47)&amp;""&lt;&gt;"",INDEX('会費の受け取り'!$G$10:$G$57,47)&amp;"",'会費の受け取り'!$B$4&amp;"")</f>
      </c>
      <c r="I515" s="39"/>
      <c r="J515" s="39"/>
      <c r="K515" s="39"/>
      <c r="L515" s="40" t="s">
        <v>53</v>
      </c>
    </row>
    <row r="516" ht="10" customHeight="1" spans="5:5" x14ac:dyDescent="0.25">
      <c r="E516" s="24"/>
    </row>
    <row r="517" ht="12" customHeight="1" spans="1:12" x14ac:dyDescent="0.25">
      <c r="A517" s="41"/>
      <c r="B517" s="41"/>
      <c r="C517" s="41"/>
      <c r="D517" s="41"/>
      <c r="E517" s="42"/>
      <c r="F517" s="41"/>
      <c r="G517" s="41"/>
      <c r="H517" s="41"/>
      <c r="I517" s="41"/>
      <c r="J517" s="41"/>
      <c r="K517" s="41"/>
      <c r="L517" s="41"/>
    </row>
    <row r="518" ht="28" customHeight="1" spans="1:12" x14ac:dyDescent="0.25">
      <c r="A518" s="21" t="s">
        <v>46</v>
      </c>
      <c r="C518" s="22" t="s">
        <v>47</v>
      </c>
      <c r="D518" s="23">
        <f>INDEX('会費の受け取り'!$A$10:$A$57,48)&amp;""</f>
      </c>
      <c r="E518" s="24"/>
      <c r="F518" s="25">
        <f>IF(INDEX('会費の受け取り'!$H$10:$H$57,48)&amp;""="書き損じ","書き損じ","領　収　書")</f>
      </c>
      <c r="G518" s="25"/>
      <c r="H518" s="25"/>
      <c r="I518" s="25"/>
      <c r="J518" s="25"/>
      <c r="K518" s="22" t="s">
        <v>47</v>
      </c>
      <c r="L518" s="23">
        <f>INDEX('会費の受け取り'!$A$10:$A$57,48)&amp;""</f>
      </c>
    </row>
    <row r="519" ht="22" customHeight="1" spans="1:12" x14ac:dyDescent="0.25">
      <c r="A519" s="26" t="s">
        <v>48</v>
      </c>
      <c r="B519" s="27">
        <f>IF(INDEX('会費の受け取り'!$F$10:$F$57,48)="","　　年　　月　　日",INDEX('会費の受け取り'!$F$10:$F$57,48))</f>
      </c>
      <c r="C519" s="27"/>
      <c r="D519" s="27"/>
      <c r="E519" s="24"/>
      <c r="J519" s="28">
        <f>IF(INDEX('会費の受け取り'!$F$10:$F$57,48)="","　　年　　月　　日",INDEX('会費の受け取り'!$F$10:$F$57,48))</f>
      </c>
      <c r="K519" s="28"/>
      <c r="L519" s="28"/>
    </row>
    <row r="520" ht="26" customHeight="1" spans="1:11" x14ac:dyDescent="0.25">
      <c r="A520" s="26" t="s">
        <v>29</v>
      </c>
      <c r="B520" s="29">
        <f>INDEX('会費の受け取り'!$C$10:$C$57,48)&amp;""</f>
      </c>
      <c r="C520" s="29"/>
      <c r="D520" s="29"/>
      <c r="E520" s="24"/>
      <c r="F520" s="30">
        <f>INDEX('会費の受け取り'!$C$10:$C$57,48)&amp;""</f>
      </c>
      <c r="G520" s="30"/>
      <c r="H520" s="30"/>
      <c r="I520" s="30"/>
      <c r="J520" s="30"/>
      <c r="K520" s="31" t="s">
        <v>49</v>
      </c>
    </row>
    <row r="521" ht="32" customHeight="1" spans="1:11" x14ac:dyDescent="0.25">
      <c r="A521" s="26" t="s">
        <v>50</v>
      </c>
      <c r="B521" s="32">
        <f>IF(INDEX('会費の受け取り'!$C$10:$C$57,48)="","",IF(INDEX('会費の受け取り'!$D$10:$D$57,48)="",N('会費の受け取り'!$B$5),INDEX('会費の受け取り'!$D$10:$D$57,48)))</f>
      </c>
      <c r="C521" s="32"/>
      <c r="D521" s="32"/>
      <c r="E521" s="24"/>
      <c r="F521" s="23" t="s">
        <v>50</v>
      </c>
      <c r="G521" s="33">
        <f>IF(INDEX('会費の受け取り'!$C$10:$C$57,48)="","",IF(INDEX('会費の受け取り'!$D$10:$D$57,48)="",N('会費の受け取り'!$B$5),INDEX('会費の受け取り'!$D$10:$D$57,48)))</f>
      </c>
      <c r="H521" s="33"/>
      <c r="I521" s="33"/>
      <c r="J521" s="33"/>
      <c r="K521" s="33"/>
    </row>
    <row r="522" ht="38" customHeight="1" spans="1:12" x14ac:dyDescent="0.25">
      <c r="A522" s="26" t="s">
        <v>51</v>
      </c>
      <c r="B522" s="34">
        <f>IF(INDEX('会費の受け取り'!$C$10:$C$57,48)="","",IF(INDEX('会費の受け取り'!$E$10:$E$57,48)&amp;""&lt;&gt;"",INDEX('会費の受け取り'!$E$10:$E$57,48)&amp;"",'会費の受け取り'!$B$6&amp;""))</f>
      </c>
      <c r="C522" s="34"/>
      <c r="D522" s="34"/>
      <c r="E522" s="24"/>
      <c r="F522" s="35">
        <f>"但し "&amp;IF(INDEX('会費の受け取り'!$C$10:$C$57,48)="","",IF(INDEX('会費の受け取り'!$E$10:$E$57,48)&amp;""&lt;&gt;"",INDEX('会費の受け取り'!$E$10:$E$57,48)&amp;"",'会費の受け取り'!$B$6&amp;""))</f>
      </c>
      <c r="G522" s="35"/>
      <c r="H522" s="35"/>
      <c r="I522" s="35"/>
      <c r="J522" s="35"/>
      <c r="K522" s="35"/>
      <c r="L522" s="35"/>
    </row>
    <row r="523" ht="22" customHeight="1" spans="1:12" x14ac:dyDescent="0.25">
      <c r="A523" s="26" t="s">
        <v>33</v>
      </c>
      <c r="B523" s="29">
        <f>IF(INDEX('会費の受け取り'!$G$10:$G$57,48)&amp;""&lt;&gt;"",INDEX('会費の受け取り'!$G$10:$G$57,48)&amp;"",'会費の受け取り'!$B$4&amp;"")</f>
      </c>
      <c r="C523" s="29"/>
      <c r="D523" s="29"/>
      <c r="E523" s="24"/>
      <c r="F523" s="36" t="s">
        <v>52</v>
      </c>
      <c r="G523" s="36"/>
      <c r="H523" s="36"/>
      <c r="I523" s="36"/>
      <c r="J523" s="36"/>
      <c r="K523" s="36"/>
      <c r="L523" s="36"/>
    </row>
    <row r="524" ht="20" customHeight="1" spans="1:5" x14ac:dyDescent="0.25">
      <c r="A524" s="37">
        <f>IF(INDEX('会費の受け取り'!$H$10:$H$57,48)&amp;""="書き損じ","書き損じ","")</f>
      </c>
      <c r="B524" s="37"/>
      <c r="C524" s="37"/>
      <c r="D524" s="37"/>
      <c r="E524" s="24"/>
    </row>
    <row r="525" ht="22" customHeight="1" spans="5:12" x14ac:dyDescent="0.25">
      <c r="E525" s="24"/>
      <c r="H525" s="38">
        <f>IF('会費の受け取り'!$B$3="","",'会費の受け取り'!$B$3)</f>
      </c>
      <c r="I525" s="38"/>
      <c r="J525" s="38"/>
      <c r="K525" s="38"/>
      <c r="L525" s="38"/>
    </row>
    <row r="526" ht="28" customHeight="1" spans="5:12" x14ac:dyDescent="0.25">
      <c r="E526" s="24"/>
      <c r="H526" s="39">
        <f>IF(INDEX('会費の受け取り'!$G$10:$G$57,48)&amp;""&lt;&gt;"",INDEX('会費の受け取り'!$G$10:$G$57,48)&amp;"",'会費の受け取り'!$B$4&amp;"")</f>
      </c>
      <c r="I526" s="39"/>
      <c r="J526" s="39"/>
      <c r="K526" s="39"/>
      <c r="L526" s="40" t="s">
        <v>53</v>
      </c>
    </row>
    <row r="527" ht="10" customHeight="1" spans="5:5" x14ac:dyDescent="0.25">
      <c r="E527" s="24"/>
    </row>
    <row r="528" ht="12" customHeight="1" spans="1:12" x14ac:dyDescent="0.25">
      <c r="A528" s="41"/>
      <c r="B528" s="41"/>
      <c r="C528" s="41"/>
      <c r="D528" s="41"/>
      <c r="E528" s="42"/>
      <c r="F528" s="41"/>
      <c r="G528" s="41"/>
      <c r="H528" s="41"/>
      <c r="I528" s="41"/>
      <c r="J528" s="41"/>
      <c r="K528" s="41"/>
      <c r="L528" s="41"/>
    </row>
  </sheetData>
  <sheetProtection sheet="1" formatColumns="0" formatRows="0"/>
  <mergeCells count="672">
    <mergeCell ref="F1:J1"/>
    <mergeCell ref="B2:D2"/>
    <mergeCell ref="J2:L2"/>
    <mergeCell ref="B3:D3"/>
    <mergeCell ref="F3:J3"/>
    <mergeCell ref="B4:D4"/>
    <mergeCell ref="G4:K4"/>
    <mergeCell ref="B5:D5"/>
    <mergeCell ref="F5:L5"/>
    <mergeCell ref="B6:D6"/>
    <mergeCell ref="F6:L6"/>
    <mergeCell ref="A7:D7"/>
    <mergeCell ref="H8:L8"/>
    <mergeCell ref="H9:K9"/>
    <mergeCell ref="F12:J12"/>
    <mergeCell ref="B13:D13"/>
    <mergeCell ref="J13:L13"/>
    <mergeCell ref="B14:D14"/>
    <mergeCell ref="F14:J14"/>
    <mergeCell ref="B15:D15"/>
    <mergeCell ref="G15:K15"/>
    <mergeCell ref="B16:D16"/>
    <mergeCell ref="F16:L16"/>
    <mergeCell ref="B17:D17"/>
    <mergeCell ref="F17:L17"/>
    <mergeCell ref="A18:D18"/>
    <mergeCell ref="H19:L19"/>
    <mergeCell ref="H20:K20"/>
    <mergeCell ref="F23:J23"/>
    <mergeCell ref="B24:D24"/>
    <mergeCell ref="J24:L24"/>
    <mergeCell ref="B25:D25"/>
    <mergeCell ref="F25:J25"/>
    <mergeCell ref="B26:D26"/>
    <mergeCell ref="G26:K26"/>
    <mergeCell ref="B27:D27"/>
    <mergeCell ref="F27:L27"/>
    <mergeCell ref="B28:D28"/>
    <mergeCell ref="F28:L28"/>
    <mergeCell ref="A29:D29"/>
    <mergeCell ref="H30:L30"/>
    <mergeCell ref="H31:K31"/>
    <mergeCell ref="F34:J34"/>
    <mergeCell ref="B35:D35"/>
    <mergeCell ref="J35:L35"/>
    <mergeCell ref="B36:D36"/>
    <mergeCell ref="F36:J36"/>
    <mergeCell ref="B37:D37"/>
    <mergeCell ref="G37:K37"/>
    <mergeCell ref="B38:D38"/>
    <mergeCell ref="F38:L38"/>
    <mergeCell ref="B39:D39"/>
    <mergeCell ref="F39:L39"/>
    <mergeCell ref="A40:D40"/>
    <mergeCell ref="H41:L41"/>
    <mergeCell ref="H42:K42"/>
    <mergeCell ref="F45:J45"/>
    <mergeCell ref="B46:D46"/>
    <mergeCell ref="J46:L46"/>
    <mergeCell ref="B47:D47"/>
    <mergeCell ref="F47:J47"/>
    <mergeCell ref="B48:D48"/>
    <mergeCell ref="G48:K48"/>
    <mergeCell ref="B49:D49"/>
    <mergeCell ref="F49:L49"/>
    <mergeCell ref="B50:D50"/>
    <mergeCell ref="F50:L50"/>
    <mergeCell ref="A51:D51"/>
    <mergeCell ref="H52:L52"/>
    <mergeCell ref="H53:K53"/>
    <mergeCell ref="F56:J56"/>
    <mergeCell ref="B57:D57"/>
    <mergeCell ref="J57:L57"/>
    <mergeCell ref="B58:D58"/>
    <mergeCell ref="F58:J58"/>
    <mergeCell ref="B59:D59"/>
    <mergeCell ref="G59:K59"/>
    <mergeCell ref="B60:D60"/>
    <mergeCell ref="F60:L60"/>
    <mergeCell ref="B61:D61"/>
    <mergeCell ref="F61:L61"/>
    <mergeCell ref="A62:D62"/>
    <mergeCell ref="H63:L63"/>
    <mergeCell ref="H64:K64"/>
    <mergeCell ref="F67:J67"/>
    <mergeCell ref="B68:D68"/>
    <mergeCell ref="J68:L68"/>
    <mergeCell ref="B69:D69"/>
    <mergeCell ref="F69:J69"/>
    <mergeCell ref="B70:D70"/>
    <mergeCell ref="G70:K70"/>
    <mergeCell ref="B71:D71"/>
    <mergeCell ref="F71:L71"/>
    <mergeCell ref="B72:D72"/>
    <mergeCell ref="F72:L72"/>
    <mergeCell ref="A73:D73"/>
    <mergeCell ref="H74:L74"/>
    <mergeCell ref="H75:K75"/>
    <mergeCell ref="F78:J78"/>
    <mergeCell ref="B79:D79"/>
    <mergeCell ref="J79:L79"/>
    <mergeCell ref="B80:D80"/>
    <mergeCell ref="F80:J80"/>
    <mergeCell ref="B81:D81"/>
    <mergeCell ref="G81:K81"/>
    <mergeCell ref="B82:D82"/>
    <mergeCell ref="F82:L82"/>
    <mergeCell ref="B83:D83"/>
    <mergeCell ref="F83:L83"/>
    <mergeCell ref="A84:D84"/>
    <mergeCell ref="H85:L85"/>
    <mergeCell ref="H86:K86"/>
    <mergeCell ref="F89:J89"/>
    <mergeCell ref="B90:D90"/>
    <mergeCell ref="J90:L90"/>
    <mergeCell ref="B91:D91"/>
    <mergeCell ref="F91:J91"/>
    <mergeCell ref="B92:D92"/>
    <mergeCell ref="G92:K92"/>
    <mergeCell ref="B93:D93"/>
    <mergeCell ref="F93:L93"/>
    <mergeCell ref="B94:D94"/>
    <mergeCell ref="F94:L94"/>
    <mergeCell ref="A95:D95"/>
    <mergeCell ref="H96:L96"/>
    <mergeCell ref="H97:K97"/>
    <mergeCell ref="F100:J100"/>
    <mergeCell ref="B101:D101"/>
    <mergeCell ref="J101:L101"/>
    <mergeCell ref="B102:D102"/>
    <mergeCell ref="F102:J102"/>
    <mergeCell ref="B103:D103"/>
    <mergeCell ref="G103:K103"/>
    <mergeCell ref="B104:D104"/>
    <mergeCell ref="F104:L104"/>
    <mergeCell ref="B105:D105"/>
    <mergeCell ref="F105:L105"/>
    <mergeCell ref="A106:D106"/>
    <mergeCell ref="H107:L107"/>
    <mergeCell ref="H108:K108"/>
    <mergeCell ref="F111:J111"/>
    <mergeCell ref="B112:D112"/>
    <mergeCell ref="J112:L112"/>
    <mergeCell ref="B113:D113"/>
    <mergeCell ref="F113:J113"/>
    <mergeCell ref="B114:D114"/>
    <mergeCell ref="G114:K114"/>
    <mergeCell ref="B115:D115"/>
    <mergeCell ref="F115:L115"/>
    <mergeCell ref="B116:D116"/>
    <mergeCell ref="F116:L116"/>
    <mergeCell ref="A117:D117"/>
    <mergeCell ref="H118:L118"/>
    <mergeCell ref="H119:K119"/>
    <mergeCell ref="F122:J122"/>
    <mergeCell ref="B123:D123"/>
    <mergeCell ref="J123:L123"/>
    <mergeCell ref="B124:D124"/>
    <mergeCell ref="F124:J124"/>
    <mergeCell ref="B125:D125"/>
    <mergeCell ref="G125:K125"/>
    <mergeCell ref="B126:D126"/>
    <mergeCell ref="F126:L126"/>
    <mergeCell ref="B127:D127"/>
    <mergeCell ref="F127:L127"/>
    <mergeCell ref="A128:D128"/>
    <mergeCell ref="H129:L129"/>
    <mergeCell ref="H130:K130"/>
    <mergeCell ref="F133:J133"/>
    <mergeCell ref="B134:D134"/>
    <mergeCell ref="J134:L134"/>
    <mergeCell ref="B135:D135"/>
    <mergeCell ref="F135:J135"/>
    <mergeCell ref="B136:D136"/>
    <mergeCell ref="G136:K136"/>
    <mergeCell ref="B137:D137"/>
    <mergeCell ref="F137:L137"/>
    <mergeCell ref="B138:D138"/>
    <mergeCell ref="F138:L138"/>
    <mergeCell ref="A139:D139"/>
    <mergeCell ref="H140:L140"/>
    <mergeCell ref="H141:K141"/>
    <mergeCell ref="F144:J144"/>
    <mergeCell ref="B145:D145"/>
    <mergeCell ref="J145:L145"/>
    <mergeCell ref="B146:D146"/>
    <mergeCell ref="F146:J146"/>
    <mergeCell ref="B147:D147"/>
    <mergeCell ref="G147:K147"/>
    <mergeCell ref="B148:D148"/>
    <mergeCell ref="F148:L148"/>
    <mergeCell ref="B149:D149"/>
    <mergeCell ref="F149:L149"/>
    <mergeCell ref="A150:D150"/>
    <mergeCell ref="H151:L151"/>
    <mergeCell ref="H152:K152"/>
    <mergeCell ref="F155:J155"/>
    <mergeCell ref="B156:D156"/>
    <mergeCell ref="J156:L156"/>
    <mergeCell ref="B157:D157"/>
    <mergeCell ref="F157:J157"/>
    <mergeCell ref="B158:D158"/>
    <mergeCell ref="G158:K158"/>
    <mergeCell ref="B159:D159"/>
    <mergeCell ref="F159:L159"/>
    <mergeCell ref="B160:D160"/>
    <mergeCell ref="F160:L160"/>
    <mergeCell ref="A161:D161"/>
    <mergeCell ref="H162:L162"/>
    <mergeCell ref="H163:K163"/>
    <mergeCell ref="F166:J166"/>
    <mergeCell ref="B167:D167"/>
    <mergeCell ref="J167:L167"/>
    <mergeCell ref="B168:D168"/>
    <mergeCell ref="F168:J168"/>
    <mergeCell ref="B169:D169"/>
    <mergeCell ref="G169:K169"/>
    <mergeCell ref="B170:D170"/>
    <mergeCell ref="F170:L170"/>
    <mergeCell ref="B171:D171"/>
    <mergeCell ref="F171:L171"/>
    <mergeCell ref="A172:D172"/>
    <mergeCell ref="H173:L173"/>
    <mergeCell ref="H174:K174"/>
    <mergeCell ref="F177:J177"/>
    <mergeCell ref="B178:D178"/>
    <mergeCell ref="J178:L178"/>
    <mergeCell ref="B179:D179"/>
    <mergeCell ref="F179:J179"/>
    <mergeCell ref="B180:D180"/>
    <mergeCell ref="G180:K180"/>
    <mergeCell ref="B181:D181"/>
    <mergeCell ref="F181:L181"/>
    <mergeCell ref="B182:D182"/>
    <mergeCell ref="F182:L182"/>
    <mergeCell ref="A183:D183"/>
    <mergeCell ref="H184:L184"/>
    <mergeCell ref="H185:K185"/>
    <mergeCell ref="F188:J188"/>
    <mergeCell ref="B189:D189"/>
    <mergeCell ref="J189:L189"/>
    <mergeCell ref="B190:D190"/>
    <mergeCell ref="F190:J190"/>
    <mergeCell ref="B191:D191"/>
    <mergeCell ref="G191:K191"/>
    <mergeCell ref="B192:D192"/>
    <mergeCell ref="F192:L192"/>
    <mergeCell ref="B193:D193"/>
    <mergeCell ref="F193:L193"/>
    <mergeCell ref="A194:D194"/>
    <mergeCell ref="H195:L195"/>
    <mergeCell ref="H196:K196"/>
    <mergeCell ref="F199:J199"/>
    <mergeCell ref="B200:D200"/>
    <mergeCell ref="J200:L200"/>
    <mergeCell ref="B201:D201"/>
    <mergeCell ref="F201:J201"/>
    <mergeCell ref="B202:D202"/>
    <mergeCell ref="G202:K202"/>
    <mergeCell ref="B203:D203"/>
    <mergeCell ref="F203:L203"/>
    <mergeCell ref="B204:D204"/>
    <mergeCell ref="F204:L204"/>
    <mergeCell ref="A205:D205"/>
    <mergeCell ref="H206:L206"/>
    <mergeCell ref="H207:K207"/>
    <mergeCell ref="F210:J210"/>
    <mergeCell ref="B211:D211"/>
    <mergeCell ref="J211:L211"/>
    <mergeCell ref="B212:D212"/>
    <mergeCell ref="F212:J212"/>
    <mergeCell ref="B213:D213"/>
    <mergeCell ref="G213:K213"/>
    <mergeCell ref="B214:D214"/>
    <mergeCell ref="F214:L214"/>
    <mergeCell ref="B215:D215"/>
    <mergeCell ref="F215:L215"/>
    <mergeCell ref="A216:D216"/>
    <mergeCell ref="H217:L217"/>
    <mergeCell ref="H218:K218"/>
    <mergeCell ref="F221:J221"/>
    <mergeCell ref="B222:D222"/>
    <mergeCell ref="J222:L222"/>
    <mergeCell ref="B223:D223"/>
    <mergeCell ref="F223:J223"/>
    <mergeCell ref="B224:D224"/>
    <mergeCell ref="G224:K224"/>
    <mergeCell ref="B225:D225"/>
    <mergeCell ref="F225:L225"/>
    <mergeCell ref="B226:D226"/>
    <mergeCell ref="F226:L226"/>
    <mergeCell ref="A227:D227"/>
    <mergeCell ref="H228:L228"/>
    <mergeCell ref="H229:K229"/>
    <mergeCell ref="F232:J232"/>
    <mergeCell ref="B233:D233"/>
    <mergeCell ref="J233:L233"/>
    <mergeCell ref="B234:D234"/>
    <mergeCell ref="F234:J234"/>
    <mergeCell ref="B235:D235"/>
    <mergeCell ref="G235:K235"/>
    <mergeCell ref="B236:D236"/>
    <mergeCell ref="F236:L236"/>
    <mergeCell ref="B237:D237"/>
    <mergeCell ref="F237:L237"/>
    <mergeCell ref="A238:D238"/>
    <mergeCell ref="H239:L239"/>
    <mergeCell ref="H240:K240"/>
    <mergeCell ref="F243:J243"/>
    <mergeCell ref="B244:D244"/>
    <mergeCell ref="J244:L244"/>
    <mergeCell ref="B245:D245"/>
    <mergeCell ref="F245:J245"/>
    <mergeCell ref="B246:D246"/>
    <mergeCell ref="G246:K246"/>
    <mergeCell ref="B247:D247"/>
    <mergeCell ref="F247:L247"/>
    <mergeCell ref="B248:D248"/>
    <mergeCell ref="F248:L248"/>
    <mergeCell ref="A249:D249"/>
    <mergeCell ref="H250:L250"/>
    <mergeCell ref="H251:K251"/>
    <mergeCell ref="F254:J254"/>
    <mergeCell ref="B255:D255"/>
    <mergeCell ref="J255:L255"/>
    <mergeCell ref="B256:D256"/>
    <mergeCell ref="F256:J256"/>
    <mergeCell ref="B257:D257"/>
    <mergeCell ref="G257:K257"/>
    <mergeCell ref="B258:D258"/>
    <mergeCell ref="F258:L258"/>
    <mergeCell ref="B259:D259"/>
    <mergeCell ref="F259:L259"/>
    <mergeCell ref="A260:D260"/>
    <mergeCell ref="H261:L261"/>
    <mergeCell ref="H262:K262"/>
    <mergeCell ref="F265:J265"/>
    <mergeCell ref="B266:D266"/>
    <mergeCell ref="J266:L266"/>
    <mergeCell ref="B267:D267"/>
    <mergeCell ref="F267:J267"/>
    <mergeCell ref="B268:D268"/>
    <mergeCell ref="G268:K268"/>
    <mergeCell ref="B269:D269"/>
    <mergeCell ref="F269:L269"/>
    <mergeCell ref="B270:D270"/>
    <mergeCell ref="F270:L270"/>
    <mergeCell ref="A271:D271"/>
    <mergeCell ref="H272:L272"/>
    <mergeCell ref="H273:K273"/>
    <mergeCell ref="F276:J276"/>
    <mergeCell ref="B277:D277"/>
    <mergeCell ref="J277:L277"/>
    <mergeCell ref="B278:D278"/>
    <mergeCell ref="F278:J278"/>
    <mergeCell ref="B279:D279"/>
    <mergeCell ref="G279:K279"/>
    <mergeCell ref="B280:D280"/>
    <mergeCell ref="F280:L280"/>
    <mergeCell ref="B281:D281"/>
    <mergeCell ref="F281:L281"/>
    <mergeCell ref="A282:D282"/>
    <mergeCell ref="H283:L283"/>
    <mergeCell ref="H284:K284"/>
    <mergeCell ref="F287:J287"/>
    <mergeCell ref="B288:D288"/>
    <mergeCell ref="J288:L288"/>
    <mergeCell ref="B289:D289"/>
    <mergeCell ref="F289:J289"/>
    <mergeCell ref="B290:D290"/>
    <mergeCell ref="G290:K290"/>
    <mergeCell ref="B291:D291"/>
    <mergeCell ref="F291:L291"/>
    <mergeCell ref="B292:D292"/>
    <mergeCell ref="F292:L292"/>
    <mergeCell ref="A293:D293"/>
    <mergeCell ref="H294:L294"/>
    <mergeCell ref="H295:K295"/>
    <mergeCell ref="F298:J298"/>
    <mergeCell ref="B299:D299"/>
    <mergeCell ref="J299:L299"/>
    <mergeCell ref="B300:D300"/>
    <mergeCell ref="F300:J300"/>
    <mergeCell ref="B301:D301"/>
    <mergeCell ref="G301:K301"/>
    <mergeCell ref="B302:D302"/>
    <mergeCell ref="F302:L302"/>
    <mergeCell ref="B303:D303"/>
    <mergeCell ref="F303:L303"/>
    <mergeCell ref="A304:D304"/>
    <mergeCell ref="H305:L305"/>
    <mergeCell ref="H306:K306"/>
    <mergeCell ref="F309:J309"/>
    <mergeCell ref="B310:D310"/>
    <mergeCell ref="J310:L310"/>
    <mergeCell ref="B311:D311"/>
    <mergeCell ref="F311:J311"/>
    <mergeCell ref="B312:D312"/>
    <mergeCell ref="G312:K312"/>
    <mergeCell ref="B313:D313"/>
    <mergeCell ref="F313:L313"/>
    <mergeCell ref="B314:D314"/>
    <mergeCell ref="F314:L314"/>
    <mergeCell ref="A315:D315"/>
    <mergeCell ref="H316:L316"/>
    <mergeCell ref="H317:K317"/>
    <mergeCell ref="F320:J320"/>
    <mergeCell ref="B321:D321"/>
    <mergeCell ref="J321:L321"/>
    <mergeCell ref="B322:D322"/>
    <mergeCell ref="F322:J322"/>
    <mergeCell ref="B323:D323"/>
    <mergeCell ref="G323:K323"/>
    <mergeCell ref="B324:D324"/>
    <mergeCell ref="F324:L324"/>
    <mergeCell ref="B325:D325"/>
    <mergeCell ref="F325:L325"/>
    <mergeCell ref="A326:D326"/>
    <mergeCell ref="H327:L327"/>
    <mergeCell ref="H328:K328"/>
    <mergeCell ref="F331:J331"/>
    <mergeCell ref="B332:D332"/>
    <mergeCell ref="J332:L332"/>
    <mergeCell ref="B333:D333"/>
    <mergeCell ref="F333:J333"/>
    <mergeCell ref="B334:D334"/>
    <mergeCell ref="G334:K334"/>
    <mergeCell ref="B335:D335"/>
    <mergeCell ref="F335:L335"/>
    <mergeCell ref="B336:D336"/>
    <mergeCell ref="F336:L336"/>
    <mergeCell ref="A337:D337"/>
    <mergeCell ref="H338:L338"/>
    <mergeCell ref="H339:K339"/>
    <mergeCell ref="F342:J342"/>
    <mergeCell ref="B343:D343"/>
    <mergeCell ref="J343:L343"/>
    <mergeCell ref="B344:D344"/>
    <mergeCell ref="F344:J344"/>
    <mergeCell ref="B345:D345"/>
    <mergeCell ref="G345:K345"/>
    <mergeCell ref="B346:D346"/>
    <mergeCell ref="F346:L346"/>
    <mergeCell ref="B347:D347"/>
    <mergeCell ref="F347:L347"/>
    <mergeCell ref="A348:D348"/>
    <mergeCell ref="H349:L349"/>
    <mergeCell ref="H350:K350"/>
    <mergeCell ref="F353:J353"/>
    <mergeCell ref="B354:D354"/>
    <mergeCell ref="J354:L354"/>
    <mergeCell ref="B355:D355"/>
    <mergeCell ref="F355:J355"/>
    <mergeCell ref="B356:D356"/>
    <mergeCell ref="G356:K356"/>
    <mergeCell ref="B357:D357"/>
    <mergeCell ref="F357:L357"/>
    <mergeCell ref="B358:D358"/>
    <mergeCell ref="F358:L358"/>
    <mergeCell ref="A359:D359"/>
    <mergeCell ref="H360:L360"/>
    <mergeCell ref="H361:K361"/>
    <mergeCell ref="F364:J364"/>
    <mergeCell ref="B365:D365"/>
    <mergeCell ref="J365:L365"/>
    <mergeCell ref="B366:D366"/>
    <mergeCell ref="F366:J366"/>
    <mergeCell ref="B367:D367"/>
    <mergeCell ref="G367:K367"/>
    <mergeCell ref="B368:D368"/>
    <mergeCell ref="F368:L368"/>
    <mergeCell ref="B369:D369"/>
    <mergeCell ref="F369:L369"/>
    <mergeCell ref="A370:D370"/>
    <mergeCell ref="H371:L371"/>
    <mergeCell ref="H372:K372"/>
    <mergeCell ref="F375:J375"/>
    <mergeCell ref="B376:D376"/>
    <mergeCell ref="J376:L376"/>
    <mergeCell ref="B377:D377"/>
    <mergeCell ref="F377:J377"/>
    <mergeCell ref="B378:D378"/>
    <mergeCell ref="G378:K378"/>
    <mergeCell ref="B379:D379"/>
    <mergeCell ref="F379:L379"/>
    <mergeCell ref="B380:D380"/>
    <mergeCell ref="F380:L380"/>
    <mergeCell ref="A381:D381"/>
    <mergeCell ref="H382:L382"/>
    <mergeCell ref="H383:K383"/>
    <mergeCell ref="F386:J386"/>
    <mergeCell ref="B387:D387"/>
    <mergeCell ref="J387:L387"/>
    <mergeCell ref="B388:D388"/>
    <mergeCell ref="F388:J388"/>
    <mergeCell ref="B389:D389"/>
    <mergeCell ref="G389:K389"/>
    <mergeCell ref="B390:D390"/>
    <mergeCell ref="F390:L390"/>
    <mergeCell ref="B391:D391"/>
    <mergeCell ref="F391:L391"/>
    <mergeCell ref="A392:D392"/>
    <mergeCell ref="H393:L393"/>
    <mergeCell ref="H394:K394"/>
    <mergeCell ref="F397:J397"/>
    <mergeCell ref="B398:D398"/>
    <mergeCell ref="J398:L398"/>
    <mergeCell ref="B399:D399"/>
    <mergeCell ref="F399:J399"/>
    <mergeCell ref="B400:D400"/>
    <mergeCell ref="G400:K400"/>
    <mergeCell ref="B401:D401"/>
    <mergeCell ref="F401:L401"/>
    <mergeCell ref="B402:D402"/>
    <mergeCell ref="F402:L402"/>
    <mergeCell ref="A403:D403"/>
    <mergeCell ref="H404:L404"/>
    <mergeCell ref="H405:K405"/>
    <mergeCell ref="F408:J408"/>
    <mergeCell ref="B409:D409"/>
    <mergeCell ref="J409:L409"/>
    <mergeCell ref="B410:D410"/>
    <mergeCell ref="F410:J410"/>
    <mergeCell ref="B411:D411"/>
    <mergeCell ref="G411:K411"/>
    <mergeCell ref="B412:D412"/>
    <mergeCell ref="F412:L412"/>
    <mergeCell ref="B413:D413"/>
    <mergeCell ref="F413:L413"/>
    <mergeCell ref="A414:D414"/>
    <mergeCell ref="H415:L415"/>
    <mergeCell ref="H416:K416"/>
    <mergeCell ref="F419:J419"/>
    <mergeCell ref="B420:D420"/>
    <mergeCell ref="J420:L420"/>
    <mergeCell ref="B421:D421"/>
    <mergeCell ref="F421:J421"/>
    <mergeCell ref="B422:D422"/>
    <mergeCell ref="G422:K422"/>
    <mergeCell ref="B423:D423"/>
    <mergeCell ref="F423:L423"/>
    <mergeCell ref="B424:D424"/>
    <mergeCell ref="F424:L424"/>
    <mergeCell ref="A425:D425"/>
    <mergeCell ref="H426:L426"/>
    <mergeCell ref="H427:K427"/>
    <mergeCell ref="F430:J430"/>
    <mergeCell ref="B431:D431"/>
    <mergeCell ref="J431:L431"/>
    <mergeCell ref="B432:D432"/>
    <mergeCell ref="F432:J432"/>
    <mergeCell ref="B433:D433"/>
    <mergeCell ref="G433:K433"/>
    <mergeCell ref="B434:D434"/>
    <mergeCell ref="F434:L434"/>
    <mergeCell ref="B435:D435"/>
    <mergeCell ref="F435:L435"/>
    <mergeCell ref="A436:D436"/>
    <mergeCell ref="H437:L437"/>
    <mergeCell ref="H438:K438"/>
    <mergeCell ref="F441:J441"/>
    <mergeCell ref="B442:D442"/>
    <mergeCell ref="J442:L442"/>
    <mergeCell ref="B443:D443"/>
    <mergeCell ref="F443:J443"/>
    <mergeCell ref="B444:D444"/>
    <mergeCell ref="G444:K444"/>
    <mergeCell ref="B445:D445"/>
    <mergeCell ref="F445:L445"/>
    <mergeCell ref="B446:D446"/>
    <mergeCell ref="F446:L446"/>
    <mergeCell ref="A447:D447"/>
    <mergeCell ref="H448:L448"/>
    <mergeCell ref="H449:K449"/>
    <mergeCell ref="F452:J452"/>
    <mergeCell ref="B453:D453"/>
    <mergeCell ref="J453:L453"/>
    <mergeCell ref="B454:D454"/>
    <mergeCell ref="F454:J454"/>
    <mergeCell ref="B455:D455"/>
    <mergeCell ref="G455:K455"/>
    <mergeCell ref="B456:D456"/>
    <mergeCell ref="F456:L456"/>
    <mergeCell ref="B457:D457"/>
    <mergeCell ref="F457:L457"/>
    <mergeCell ref="A458:D458"/>
    <mergeCell ref="H459:L459"/>
    <mergeCell ref="H460:K460"/>
    <mergeCell ref="F463:J463"/>
    <mergeCell ref="B464:D464"/>
    <mergeCell ref="J464:L464"/>
    <mergeCell ref="B465:D465"/>
    <mergeCell ref="F465:J465"/>
    <mergeCell ref="B466:D466"/>
    <mergeCell ref="G466:K466"/>
    <mergeCell ref="B467:D467"/>
    <mergeCell ref="F467:L467"/>
    <mergeCell ref="B468:D468"/>
    <mergeCell ref="F468:L468"/>
    <mergeCell ref="A469:D469"/>
    <mergeCell ref="H470:L470"/>
    <mergeCell ref="H471:K471"/>
    <mergeCell ref="F474:J474"/>
    <mergeCell ref="B475:D475"/>
    <mergeCell ref="J475:L475"/>
    <mergeCell ref="B476:D476"/>
    <mergeCell ref="F476:J476"/>
    <mergeCell ref="B477:D477"/>
    <mergeCell ref="G477:K477"/>
    <mergeCell ref="B478:D478"/>
    <mergeCell ref="F478:L478"/>
    <mergeCell ref="B479:D479"/>
    <mergeCell ref="F479:L479"/>
    <mergeCell ref="A480:D480"/>
    <mergeCell ref="H481:L481"/>
    <mergeCell ref="H482:K482"/>
    <mergeCell ref="F485:J485"/>
    <mergeCell ref="B486:D486"/>
    <mergeCell ref="J486:L486"/>
    <mergeCell ref="B487:D487"/>
    <mergeCell ref="F487:J487"/>
    <mergeCell ref="B488:D488"/>
    <mergeCell ref="G488:K488"/>
    <mergeCell ref="B489:D489"/>
    <mergeCell ref="F489:L489"/>
    <mergeCell ref="B490:D490"/>
    <mergeCell ref="F490:L490"/>
    <mergeCell ref="A491:D491"/>
    <mergeCell ref="H492:L492"/>
    <mergeCell ref="H493:K493"/>
    <mergeCell ref="F496:J496"/>
    <mergeCell ref="B497:D497"/>
    <mergeCell ref="J497:L497"/>
    <mergeCell ref="B498:D498"/>
    <mergeCell ref="F498:J498"/>
    <mergeCell ref="B499:D499"/>
    <mergeCell ref="G499:K499"/>
    <mergeCell ref="B500:D500"/>
    <mergeCell ref="F500:L500"/>
    <mergeCell ref="B501:D501"/>
    <mergeCell ref="F501:L501"/>
    <mergeCell ref="A502:D502"/>
    <mergeCell ref="H503:L503"/>
    <mergeCell ref="H504:K504"/>
    <mergeCell ref="F507:J507"/>
    <mergeCell ref="B508:D508"/>
    <mergeCell ref="J508:L508"/>
    <mergeCell ref="B509:D509"/>
    <mergeCell ref="F509:J509"/>
    <mergeCell ref="B510:D510"/>
    <mergeCell ref="G510:K510"/>
    <mergeCell ref="B511:D511"/>
    <mergeCell ref="F511:L511"/>
    <mergeCell ref="B512:D512"/>
    <mergeCell ref="F512:L512"/>
    <mergeCell ref="A513:D513"/>
    <mergeCell ref="H514:L514"/>
    <mergeCell ref="H515:K515"/>
    <mergeCell ref="F518:J518"/>
    <mergeCell ref="B519:D519"/>
    <mergeCell ref="J519:L519"/>
    <mergeCell ref="B520:D520"/>
    <mergeCell ref="F520:J520"/>
    <mergeCell ref="B521:D521"/>
    <mergeCell ref="G521:K521"/>
    <mergeCell ref="B522:D522"/>
    <mergeCell ref="F522:L522"/>
    <mergeCell ref="B523:D523"/>
    <mergeCell ref="F523:L523"/>
    <mergeCell ref="A524:D524"/>
    <mergeCell ref="H525:L525"/>
    <mergeCell ref="H526:K526"/>
  </mergeCells>
  <printOptions horizontalCentered="1"/>
  <pageMargins left="0.4" right="0.4" top="0.4" bottom="0.4" header="0.2" footer="0.2"/>
  <pageSetup paperSize="9" orientation="portrait" horizontalDpi="4294967295" verticalDpi="4294967295" scale="100" fitToWidth="1" fitToHeight="0"/>
  <rowBreaks count="15" manualBreakCount="15">
    <brk id="33" max="16838" man="1"/>
    <brk id="66" max="16838" man="1"/>
    <brk id="99" max="16838" man="1"/>
    <brk id="132" max="16838" man="1"/>
    <brk id="165" max="16838" man="1"/>
    <brk id="198" max="16838" man="1"/>
    <brk id="231" max="16838" man="1"/>
    <brk id="264" max="16838" man="1"/>
    <brk id="297" max="16838" man="1"/>
    <brk id="330" max="16838" man="1"/>
    <brk id="363" max="16838" man="1"/>
    <brk id="396" max="16838" man="1"/>
    <brk id="429" max="16838" man="1"/>
    <brk id="462" max="16838" man="1"/>
    <brk id="495" max="1683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使い方</vt:lpstr>
      <vt:lpstr>会費の受け取り</vt:lpstr>
      <vt:lpstr>領収書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はじめての自治会役員（アストラスクエア）</dc:creator>
  <dc:title/>
  <dc:subject/>
  <dc:description/>
  <cp:keywords/>
  <cp:category/>
  <cp:lastModifiedBy>Unknown</cp:lastModifiedBy>
  <dcterms:created xsi:type="dcterms:W3CDTF">2026-10-23T11:45:27Z</dcterms:created>
  <dcterms:modified xsi:type="dcterms:W3CDTF">2026-10-23T11:45:27Z</dcterms:modified>
</cp:coreProperties>
</file>